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uziabdou/Desktop/PAGINA WEB MANIFIESTO/"/>
    </mc:Choice>
  </mc:AlternateContent>
  <xr:revisionPtr revIDLastSave="0" documentId="8_{8FA8924B-8F90-4F43-8978-F0FBA842B8EB}" xr6:coauthVersionLast="46" xr6:coauthVersionMax="46" xr10:uidLastSave="{00000000-0000-0000-0000-000000000000}"/>
  <bookViews>
    <workbookView xWindow="4800" yWindow="3020" windowWidth="27640" windowHeight="16940" xr2:uid="{5ACA4082-46B0-E940-AC40-E1A15B40F7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4" i="1" l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<sst xmlns="http://schemas.openxmlformats.org/spreadsheetml/2006/main" count="1989" uniqueCount="655">
  <si>
    <t>ITEM DESCRIPTION</t>
  </si>
  <si>
    <t>ORIGINAL QTY</t>
  </si>
  <si>
    <t>ORIGINAL RETAIL</t>
  </si>
  <si>
    <t>TOTAL ORIGINAL RETAIL</t>
  </si>
  <si>
    <t>VENDOR / STYLE #</t>
  </si>
  <si>
    <t>COLOR</t>
  </si>
  <si>
    <t>VENDOR NAME</t>
  </si>
  <si>
    <t>COUNTRY OF ORIGIN</t>
  </si>
  <si>
    <t>FABRIC CONTENT</t>
  </si>
  <si>
    <t>IMAGE</t>
  </si>
  <si>
    <t>HUSKY JACKET</t>
  </si>
  <si>
    <t>HLAY11PAH221</t>
  </si>
  <si>
    <t>NAVY</t>
  </si>
  <si>
    <t>LAUREN/PEERLESS CLOTHING</t>
  </si>
  <si>
    <t>IMPORTED</t>
  </si>
  <si>
    <t>POLYESTER/RAYON</t>
  </si>
  <si>
    <t>SUBTLE HEATHERED SUIT JA</t>
  </si>
  <si>
    <t>CTSDD05F-271</t>
  </si>
  <si>
    <t>LT BEIGE</t>
  </si>
  <si>
    <t>CALVIN KLEIN/F &amp; T APPAREL LLC</t>
  </si>
  <si>
    <t>SHELL: POLYESTER/RAYON/SPANDEX; LINING: POLYESTER</t>
  </si>
  <si>
    <t>GREY WINDOWPANE SUIT JAC</t>
  </si>
  <si>
    <t>CTSDD10F-032</t>
  </si>
  <si>
    <t>MED GRAY</t>
  </si>
  <si>
    <t>SEASONLESS DOBBY WEAVE S</t>
  </si>
  <si>
    <t>CTSDD00F-023</t>
  </si>
  <si>
    <t>DARK GRAY</t>
  </si>
  <si>
    <t>INFINITE BLUE JACKET</t>
  </si>
  <si>
    <t>K821170</t>
  </si>
  <si>
    <t>BRIGHTBLUE</t>
  </si>
  <si>
    <t>POLYESTER/RAYON/WOOL</t>
  </si>
  <si>
    <t>COTTON DRESSES</t>
  </si>
  <si>
    <t>PINK</t>
  </si>
  <si>
    <t>RL CHILDRENSWEAR/POLO RALPH LAUREN</t>
  </si>
  <si>
    <t>SHELL: COTTON/POLYESTER; SASH: POLYESTER; LINING: COTTON</t>
  </si>
  <si>
    <t>SEERSUCKER-TIER SEERSKR-</t>
  </si>
  <si>
    <t>GREEN</t>
  </si>
  <si>
    <t>SHELL AND LINING: COTTON</t>
  </si>
  <si>
    <t>SUPER SKINNY SATEEN BASIC</t>
  </si>
  <si>
    <t>A837WB008</t>
  </si>
  <si>
    <t>BLACK</t>
  </si>
  <si>
    <t>AG JEANS/5 STAR PREMIUM-CONSIGNMENT</t>
  </si>
  <si>
    <t>MADE IN CHINA</t>
  </si>
  <si>
    <t>RAYON/COTTON/POLYESTER/SPANDEX</t>
  </si>
  <si>
    <t>CHAMBRAY-SL CHAMBRAY-DRE</t>
  </si>
  <si>
    <t>DRESS: COTTON; BELT: POLYESTER/COTTON</t>
  </si>
  <si>
    <t>PONTE ROMA- JUMPERSET</t>
  </si>
  <si>
    <t>DRESS: POLYESTER/VISCOSE/ELASTANE; SHIRT: COTTON</t>
  </si>
  <si>
    <t>BLUE CROSSHATCH 2-PIECE</t>
  </si>
  <si>
    <t>NDSDE05F-422</t>
  </si>
  <si>
    <t>MED BLUE</t>
  </si>
  <si>
    <t>F &amp; T APPAREL LLC</t>
  </si>
  <si>
    <t>JACKET AND PANTS SHELL: POLYESTER/RAYON/SPANDEX; JACKET LINING: POLYESTER</t>
  </si>
  <si>
    <t>GREY STRETCH SHARKSIN 2</t>
  </si>
  <si>
    <t>NDSDE04F-052</t>
  </si>
  <si>
    <t>LT/PAS GRY</t>
  </si>
  <si>
    <t>HP-REESE</t>
  </si>
  <si>
    <t>HP855890</t>
  </si>
  <si>
    <t>HUSH PUPPIES/WOLVERINE</t>
  </si>
  <si>
    <t>LEATHER UPPER; RUBBER SOLE</t>
  </si>
  <si>
    <t>MEDLINE REINA</t>
  </si>
  <si>
    <t>DARK BEIGE</t>
  </si>
  <si>
    <t>MICHAEL KORS/SYNCLAIRE BRANDS INC</t>
  </si>
  <si>
    <t>MANMADE UPPER AND LINING; RUBBER SOLE; FAUX-FUR: POLYESTER</t>
  </si>
  <si>
    <t>TODDLER DENIM JEAN</t>
  </si>
  <si>
    <t>7FFTB2210</t>
  </si>
  <si>
    <t>7FAM/O5 MD LLC-CONSIGN</t>
  </si>
  <si>
    <t>SEELEY LEATHER MARYJ</t>
  </si>
  <si>
    <t>SEELEY</t>
  </si>
  <si>
    <t>WHITE</t>
  </si>
  <si>
    <t>NINA DOLL-NINA FOOTWEAR</t>
  </si>
  <si>
    <t>PATENT LEATHER</t>
  </si>
  <si>
    <t>PINPOINT OXFORD-OXFORD T</t>
  </si>
  <si>
    <t>COTTON</t>
  </si>
  <si>
    <t>B NSW CORE TRK STE P</t>
  </si>
  <si>
    <t>BV3617</t>
  </si>
  <si>
    <t>CHARCOAL</t>
  </si>
  <si>
    <t>NIKE</t>
  </si>
  <si>
    <t>POLYESTER</t>
  </si>
  <si>
    <t>JKIMMIE</t>
  </si>
  <si>
    <t>STEVE MADDEN KIDS/STEVE MADDEN LTD</t>
  </si>
  <si>
    <t>ELASTIC</t>
  </si>
  <si>
    <t>OMBRE PLEATED SKIRT MAXI</t>
  </si>
  <si>
    <t>E473690</t>
  </si>
  <si>
    <t>RARE EDITIONS</t>
  </si>
  <si>
    <t>BODICE: POLYESTER/SPANDEX; SKIRT &amp; LINING: POLYESTER</t>
  </si>
  <si>
    <t>LT WT TISSUE CHINO-SOLID</t>
  </si>
  <si>
    <t>TISSUE CHINO-FLAT FRONT-</t>
  </si>
  <si>
    <t>CHAMBRAY-CHAM CAMP SH-BO</t>
  </si>
  <si>
    <t>STRCH PERF OXFORD-SS BD</t>
  </si>
  <si>
    <t>AO LACE PLUS</t>
  </si>
  <si>
    <t>E575830</t>
  </si>
  <si>
    <t>TURQ/AQUA</t>
  </si>
  <si>
    <t>DRESS/LINING: POLYESTER</t>
  </si>
  <si>
    <t>B NSW HOODIE FZ CLUB</t>
  </si>
  <si>
    <t>BV3699</t>
  </si>
  <si>
    <t>COTTON/POLYESTER</t>
  </si>
  <si>
    <t>TILLY LEE</t>
  </si>
  <si>
    <t>SADDLE</t>
  </si>
  <si>
    <t>MANMADE UPPER; MANMADE LINING; RUBBER SOLE</t>
  </si>
  <si>
    <t>LACE BORDER FLORAL MAXI</t>
  </si>
  <si>
    <t>S40395-DV</t>
  </si>
  <si>
    <t>NATURAL</t>
  </si>
  <si>
    <t>GERSON &amp; GERSON</t>
  </si>
  <si>
    <t>TIRO19 PNTY</t>
  </si>
  <si>
    <t>ED6051</t>
  </si>
  <si>
    <t>ADIDAS AMERICA INC</t>
  </si>
  <si>
    <t>HUSKY PANT</t>
  </si>
  <si>
    <t>HEDGPZ1YH221</t>
  </si>
  <si>
    <t>AO LACE</t>
  </si>
  <si>
    <t>E475830</t>
  </si>
  <si>
    <t>PALO POPLIN SHIRT</t>
  </si>
  <si>
    <t>TBTDB00F-465</t>
  </si>
  <si>
    <t>BLUE</t>
  </si>
  <si>
    <t>TOMMY HILFIGER/KHQ INVESTMENTS LLC</t>
  </si>
  <si>
    <t>ALL COTTON</t>
  </si>
  <si>
    <t>PARACHUTE TWILL-RUGBY SH</t>
  </si>
  <si>
    <t>SUIT SEP PANT</t>
  </si>
  <si>
    <t>BEDGPZ1Y0446</t>
  </si>
  <si>
    <t>POLYESTER/VISCOSE/ELASTANE</t>
  </si>
  <si>
    <t>GREEN TARTAN VEST SET</t>
  </si>
  <si>
    <t>NDFCR00J-310</t>
  </si>
  <si>
    <t>MED GREEN</t>
  </si>
  <si>
    <t>VEST, SHIRT, PANTS AND TIE: POLYESTER</t>
  </si>
  <si>
    <t>LUREX EMBROIDERED</t>
  </si>
  <si>
    <t>R50090-PS</t>
  </si>
  <si>
    <t>DARK PINK</t>
  </si>
  <si>
    <t>BONNIE JEAN/GERSON &amp; GERSON</t>
  </si>
  <si>
    <t>POLYESTER/NYLON/METALLIC</t>
  </si>
  <si>
    <t>2 PC SHIMMER TOP TO MULT</t>
  </si>
  <si>
    <t>S60467-SV</t>
  </si>
  <si>
    <t>MED PINK</t>
  </si>
  <si>
    <t>REVERSE OXFRD MESH-LS HZ</t>
  </si>
  <si>
    <t>MADE IN CAMBODIA</t>
  </si>
  <si>
    <t>SPARKLE KNIT UNECK JUMPS</t>
  </si>
  <si>
    <t>E473740</t>
  </si>
  <si>
    <t>RARE EDITIONS FOR GIRLS-CONSIGNEMNT</t>
  </si>
  <si>
    <t>POLYESTER/METALLIC THREADING; LINING: POLYESTER</t>
  </si>
  <si>
    <t>HONEYCOMB BLACK/WHIT</t>
  </si>
  <si>
    <t>SHIDSSWY0032</t>
  </si>
  <si>
    <t>DKNY/PEERLESS CLOTHING INTL</t>
  </si>
  <si>
    <t>BASIC MESH-SS TOPS-KNIT</t>
  </si>
  <si>
    <t>100% COTTON</t>
  </si>
  <si>
    <t>DENSE POPLIN PREPPY</t>
  </si>
  <si>
    <t>GRAY</t>
  </si>
  <si>
    <t>B NIKE AIR TOP LS</t>
  </si>
  <si>
    <t>BODY: ALL COTTON; RIB: COTTON/SPANDEX</t>
  </si>
  <si>
    <t>PINK AND WHITE W CARDI</t>
  </si>
  <si>
    <t>MAB11166</t>
  </si>
  <si>
    <t>BLUEBERI/BLUEBERRY BLVD LLC 414/633</t>
  </si>
  <si>
    <t>SHRUG: NYLON/SPANDEX/POLYESTER; DRESS: POLYESTER</t>
  </si>
  <si>
    <t>502 REGULAR TAPER</t>
  </si>
  <si>
    <t>9H5502F</t>
  </si>
  <si>
    <t>LEVI'S/HADDAD APPAREL GROUP</t>
  </si>
  <si>
    <t>COTTON/ELASTANE</t>
  </si>
  <si>
    <t>PAULA HUNTER</t>
  </si>
  <si>
    <t>SAM EDELMAN/SYNCLAIRE BRANDS</t>
  </si>
  <si>
    <t>MANMADE UPPER AND LINING; RUBBER SOLE</t>
  </si>
  <si>
    <t>BORDER FLORAL JUMPSUIT</t>
  </si>
  <si>
    <t>E478270</t>
  </si>
  <si>
    <t>GLITTER LACE WALKTHRU</t>
  </si>
  <si>
    <t>SC224D26CJ77</t>
  </si>
  <si>
    <t>DARK BLUE</t>
  </si>
  <si>
    <t>SWAT FAME INC</t>
  </si>
  <si>
    <t>SHELL: POLYESTER/SPANDEX; LINING: POLYESTER</t>
  </si>
  <si>
    <t>INDIGO DOBBY JOGGER</t>
  </si>
  <si>
    <t>91A661F</t>
  </si>
  <si>
    <t>COTTON/POLYESTER/VISCOSE/ELASTANE</t>
  </si>
  <si>
    <t>BLUE OXFORD BASIC</t>
  </si>
  <si>
    <t>BSHLSSWA0011</t>
  </si>
  <si>
    <t>AO FLORAL MESH MAXI</t>
  </si>
  <si>
    <t>R57907813K</t>
  </si>
  <si>
    <t>LT/PASPINK</t>
  </si>
  <si>
    <t>BEAUTEES/KWDZ MFG LLC (452/806)</t>
  </si>
  <si>
    <t>SHELL, LINING: POLYESTER</t>
  </si>
  <si>
    <t>NIKE HYPER WEB RACERBACK</t>
  </si>
  <si>
    <t>NESS9632DS</t>
  </si>
  <si>
    <t>ORANGE</t>
  </si>
  <si>
    <t>NIKE SWIM/SUPREME/PERRY ELLIS GIRLS</t>
  </si>
  <si>
    <t>TOP: POLYESTER/SPANDEX; BOTTOM: NYLON/SPANDEX; POLYESTER LINING</t>
  </si>
  <si>
    <t>SPRINT PRINTED SHORT</t>
  </si>
  <si>
    <t>UNDER ARMOUR</t>
  </si>
  <si>
    <t>DENIM B/F BODICE TO MULT</t>
  </si>
  <si>
    <t>S60511-DV</t>
  </si>
  <si>
    <t>LT/PASBLUE</t>
  </si>
  <si>
    <t>SCALLOPED BODICE COLD SH</t>
  </si>
  <si>
    <t>E478230</t>
  </si>
  <si>
    <t>DEEP 502 REGULAR TAPER</t>
  </si>
  <si>
    <t>915502F</t>
  </si>
  <si>
    <t>SUGAR BIG GIRLS THONG SA</t>
  </si>
  <si>
    <t>MATILDA</t>
  </si>
  <si>
    <t>E S ORIGINALS INC</t>
  </si>
  <si>
    <t>METALLIC PU AND GLITTER UPPER, METAL D-RING, SMOOTH PU LINING, BEAD ORNAMENT, TPR OUTSOLE</t>
  </si>
  <si>
    <t>NAUTICA DOUBLE VELCRO</t>
  </si>
  <si>
    <t>HELM</t>
  </si>
  <si>
    <t>FAUX LEATHER UPPER</t>
  </si>
  <si>
    <t>FLO LEATHER BALLET S</t>
  </si>
  <si>
    <t>FMA007</t>
  </si>
  <si>
    <t>FLO DANCEWEAR PTY LTD GIRLS</t>
  </si>
  <si>
    <t>LEATHER UPPER; ELASTANE STRAP; COTTON BINDING</t>
  </si>
  <si>
    <t>DOG 2PC JOGGER SET</t>
  </si>
  <si>
    <t>LPH07528I</t>
  </si>
  <si>
    <t>JETSET-MAMIYE BROTHERS</t>
  </si>
  <si>
    <t>RAINBOW HALTER TOP DRESS</t>
  </si>
  <si>
    <t>K51877GS</t>
  </si>
  <si>
    <t>BRIGHT RED</t>
  </si>
  <si>
    <t>MONTEAU INC-BIG</t>
  </si>
  <si>
    <t>POLYESTER/SPANDEX; LINING: POLYESTER</t>
  </si>
  <si>
    <t>RENEGADE 2.0 JACQUAR</t>
  </si>
  <si>
    <t>JEGGING</t>
  </si>
  <si>
    <t>NJD0089P</t>
  </si>
  <si>
    <t>NAUTICA/F &amp; T APPAREL LLC-CONSIGN</t>
  </si>
  <si>
    <t>58% COTTON 39% POLYESTER 3% SPANDEX</t>
  </si>
  <si>
    <t>CVC FLEECE PULLOVER HOOD</t>
  </si>
  <si>
    <t>PUMA KIDS 2-7/PUMA UNITED NORTH AME</t>
  </si>
  <si>
    <t>OAR 511 BACANO</t>
  </si>
  <si>
    <t>715511F</t>
  </si>
  <si>
    <t>WILSON HOODED SWEATSHIRT</t>
  </si>
  <si>
    <t>NUFCB36F-107</t>
  </si>
  <si>
    <t>S20 G C1 GINGHAM DRESS</t>
  </si>
  <si>
    <t>1H405210</t>
  </si>
  <si>
    <t>WILLIAM CARTER-BABY</t>
  </si>
  <si>
    <t>S20 G C3 YELLOW DRESS</t>
  </si>
  <si>
    <t>1H439210</t>
  </si>
  <si>
    <t>YELLOW</t>
  </si>
  <si>
    <t>BSW 4PC COTTONBSW 4PC YE</t>
  </si>
  <si>
    <t>WILLIAM CARTER-BABY SLEEPWEAR</t>
  </si>
  <si>
    <t>SWEATER FLEECE GRY</t>
  </si>
  <si>
    <t>N884158Q</t>
  </si>
  <si>
    <t>MINOS FULLZIP SWEATER VE</t>
  </si>
  <si>
    <t>NSFCM06F-629</t>
  </si>
  <si>
    <t>GRANT FULLZIP COLORBLOCK</t>
  </si>
  <si>
    <t>NSFCM03F-698</t>
  </si>
  <si>
    <t>LEFTOUT STRETCH TWILL MO</t>
  </si>
  <si>
    <t>RBB0050SC</t>
  </si>
  <si>
    <t>SILVER</t>
  </si>
  <si>
    <t>RING OF FIRE/ROF LLC-CONSIGNMENT</t>
  </si>
  <si>
    <t>COTTON/SPANDEX</t>
  </si>
  <si>
    <t>PINK/BLUE DENIM</t>
  </si>
  <si>
    <t>S495040</t>
  </si>
  <si>
    <t>BODICE: COTTON/POLYESTER; SKIRT: NYLON; LINING: POLYESTER</t>
  </si>
  <si>
    <t>BOYS BLUE PART TREX SET</t>
  </si>
  <si>
    <t>1H825610</t>
  </si>
  <si>
    <t>NON BELTED NEW SHORT FAB</t>
  </si>
  <si>
    <t>N8E0002E</t>
  </si>
  <si>
    <t>COTTON/SPANCES</t>
  </si>
  <si>
    <t>BEIGEKHAKI</t>
  </si>
  <si>
    <t>F19 LBB GIRL LS 4PK</t>
  </si>
  <si>
    <t>F19 LBB BOY 5PK BS</t>
  </si>
  <si>
    <t>30/1 BASIC JERSEY-SS CN</t>
  </si>
  <si>
    <t>BLK WALKER SNEAKER</t>
  </si>
  <si>
    <t>60015FI410</t>
  </si>
  <si>
    <t>FIRST IMPRESSIONS-EDI/TRIMFOOT CO</t>
  </si>
  <si>
    <t>FAUX-LEATHER UPPER; FAUX-LEATHER SOLE</t>
  </si>
  <si>
    <t>IVORY FUR CARDI</t>
  </si>
  <si>
    <t>W68706-SL</t>
  </si>
  <si>
    <t>FAUX FUR: POLYESTER; LINING: POLYESTER</t>
  </si>
  <si>
    <t>HUSKY DAGGER SHORT BASIC</t>
  </si>
  <si>
    <t>T861081</t>
  </si>
  <si>
    <t>RUFFLE BIKINI 2 PC SET</t>
  </si>
  <si>
    <t>GLITTER BEACH/BACKFLIPS INC</t>
  </si>
  <si>
    <t>2 PACK WOVEN BOXER</t>
  </si>
  <si>
    <t>RKWBH2P0E</t>
  </si>
  <si>
    <t>POLO/HANESBRANDS UNDERWEAR BOYS</t>
  </si>
  <si>
    <t>WHITE DENIM</t>
  </si>
  <si>
    <t>100086402LB</t>
  </si>
  <si>
    <t>EPIC THREADS-EDI/TOPSVILLE INC</t>
  </si>
  <si>
    <t>COTTON/SPANDEX 10-OZ.</t>
  </si>
  <si>
    <t>NAVY DENIM</t>
  </si>
  <si>
    <t>100061269GR</t>
  </si>
  <si>
    <t>COTTON/RAYON/SPANDEX</t>
  </si>
  <si>
    <t>S20 BLUE ORANGE STRP SET</t>
  </si>
  <si>
    <t>2H394410</t>
  </si>
  <si>
    <t>WILLIAM CARTER-TODDLER PLAYWEAR</t>
  </si>
  <si>
    <t>PLUSH BLANKET GIRL</t>
  </si>
  <si>
    <t>PLUSH BLANKET F19 PL</t>
  </si>
  <si>
    <t>POLYESTER VELBOA</t>
  </si>
  <si>
    <t>BLANKET</t>
  </si>
  <si>
    <t>VELBOA FAUX FUR: POLYESTER</t>
  </si>
  <si>
    <t>CLASSIC TARTAN</t>
  </si>
  <si>
    <t>TIELT1ATS970</t>
  </si>
  <si>
    <t>RED</t>
  </si>
  <si>
    <t>ALL SILK</t>
  </si>
  <si>
    <t>BUFFALO CHECK</t>
  </si>
  <si>
    <t>TIELT1ATS972</t>
  </si>
  <si>
    <t>BUTTON FLY SHORT</t>
  </si>
  <si>
    <t>100088487GR</t>
  </si>
  <si>
    <t>RAINBOW WALLET SHORT</t>
  </si>
  <si>
    <t>100088483GR</t>
  </si>
  <si>
    <t>STRIPED LS/SKIRT SET</t>
  </si>
  <si>
    <t>100083152GR</t>
  </si>
  <si>
    <t>POLYESTER/SPANDEX</t>
  </si>
  <si>
    <t>LACE SHORT</t>
  </si>
  <si>
    <t>IS120D3524</t>
  </si>
  <si>
    <t>VANILLA STAR/REVISE CLOTHING INC</t>
  </si>
  <si>
    <t>COTTON/POLYESTER/RAYON/SPANDEX</t>
  </si>
  <si>
    <t>KNIT WOVEN SHORTS MILA W</t>
  </si>
  <si>
    <t>IS119M276</t>
  </si>
  <si>
    <t>COTTON/POLYESTER/SPANDEX</t>
  </si>
  <si>
    <t>LACE SWEATER CORAL</t>
  </si>
  <si>
    <t>E4601B01HB22</t>
  </si>
  <si>
    <t>SWAT FAME INC CONSIGN</t>
  </si>
  <si>
    <t>POLYESTER/RAYON/SPANDEX</t>
  </si>
  <si>
    <t>NIKE ELITE CREW 2P</t>
  </si>
  <si>
    <t>SX7309</t>
  </si>
  <si>
    <t>NIKE USA INC SOCKS BOYS</t>
  </si>
  <si>
    <t>POLYESTER/COTTON/SPANDEX/NYLON</t>
  </si>
  <si>
    <t>F19 LBB BOY BEAR LCS</t>
  </si>
  <si>
    <t>UA TRILEIDO BOSS SS</t>
  </si>
  <si>
    <t>27H54621-82</t>
  </si>
  <si>
    <t>BRGHTORANG</t>
  </si>
  <si>
    <t>UNDER ARMOUR 2-7/KHQ INVESTMENT LLC</t>
  </si>
  <si>
    <t>25MM FE STRETCH</t>
  </si>
  <si>
    <t>12TL01XZ11</t>
  </si>
  <si>
    <t>NAUTICA/RANDA ACCESSORIES LEATHER</t>
  </si>
  <si>
    <t>POLYURETHANE</t>
  </si>
  <si>
    <t>32MM FES PIECED MIX</t>
  </si>
  <si>
    <t>12TL01XZ09</t>
  </si>
  <si>
    <t>POLYURETHANE/LEATHER/POLYESTER</t>
  </si>
  <si>
    <t>30MM CRS2</t>
  </si>
  <si>
    <t>12TL02XZ08</t>
  </si>
  <si>
    <t>FAUX-LEATHER: POLYURETHANE/POLYESTER</t>
  </si>
  <si>
    <t>BOBBY TWILL CARGO SHORT</t>
  </si>
  <si>
    <t>RBB0185</t>
  </si>
  <si>
    <t>LT/PAS GRN</t>
  </si>
  <si>
    <t>S20 G DCS CHERRIES</t>
  </si>
  <si>
    <t>1H355310</t>
  </si>
  <si>
    <t>HK BALLOON FACES S/S TOP</t>
  </si>
  <si>
    <t>KV00115GHK0632</t>
  </si>
  <si>
    <t>HELLO KITTY/EVY OF CALIFORNIA</t>
  </si>
  <si>
    <t>COTTON/POLYESTER (EXCLUSIVE OF DECORATION)</t>
  </si>
  <si>
    <t>POLO TEXTURED 6 PACK</t>
  </si>
  <si>
    <t>G40084GPK2</t>
  </si>
  <si>
    <t>POLO RALPH LAUREN-HOT SOX GIRLS</t>
  </si>
  <si>
    <t>S20 BLUE RAINBOW 2PC</t>
  </si>
  <si>
    <t>1H425210</t>
  </si>
  <si>
    <t>POLYESTER/ELASTANE; LINING: POLYESTER</t>
  </si>
  <si>
    <t>GREAT CATCH SWIM SET</t>
  </si>
  <si>
    <t>100077177BB</t>
  </si>
  <si>
    <t>FIRST IMPRESSIONS-MMG</t>
  </si>
  <si>
    <t>MONSTER SWIM SET</t>
  </si>
  <si>
    <t>100077178BB</t>
  </si>
  <si>
    <t>32MM PRINTED WEB</t>
  </si>
  <si>
    <t>12TL02XZ09</t>
  </si>
  <si>
    <t>COTTON/POLYESTER/NYLON</t>
  </si>
  <si>
    <t>SWIM MESH COVERUP</t>
  </si>
  <si>
    <t>100083891GR</t>
  </si>
  <si>
    <t>IDEOLOGY GIRLS 7-16-EDI/TOPSVILLE</t>
  </si>
  <si>
    <t>CHAMPION SCRIPT CVC HOOD</t>
  </si>
  <si>
    <t>C5869R</t>
  </si>
  <si>
    <t>CHAMPION 2-7/BELUGA INC</t>
  </si>
  <si>
    <t>SS PERFORMANCE POLO</t>
  </si>
  <si>
    <t>NUFBB121-001</t>
  </si>
  <si>
    <t>100% POLYESTER</t>
  </si>
  <si>
    <t>NUFBB121-483</t>
  </si>
  <si>
    <t>NUFBB121-410</t>
  </si>
  <si>
    <t>INDIGO KNIT SHORT ICARUS</t>
  </si>
  <si>
    <t>IS119M275</t>
  </si>
  <si>
    <t>HEART LACE UP DRESS</t>
  </si>
  <si>
    <t>100089058GR</t>
  </si>
  <si>
    <t>SOLID MESH 2PK BOXER BRI</t>
  </si>
  <si>
    <t>TBFCJ14K-405</t>
  </si>
  <si>
    <t>TOMMY HILFIGER UW BOYS/KHQ INVEST</t>
  </si>
  <si>
    <t>UMBRE 2PK BOXER BRIEFS</t>
  </si>
  <si>
    <t>TBFCJ13K-100</t>
  </si>
  <si>
    <t>CENTERLINE CARGO SHORT</t>
  </si>
  <si>
    <t>UB1201532</t>
  </si>
  <si>
    <t>LT/PAS YEL</t>
  </si>
  <si>
    <t>UNIVIBE/FAMMA GROUP INC</t>
  </si>
  <si>
    <t>COTTON/NYLON</t>
  </si>
  <si>
    <t>BOYS SCOUT CTN/NYLON</t>
  </si>
  <si>
    <t>UB1191534</t>
  </si>
  <si>
    <t>NO C P3 BOYS' ULTIMATE XT</t>
  </si>
  <si>
    <t>BUPBA7</t>
  </si>
  <si>
    <t>NO COLOR</t>
  </si>
  <si>
    <t>HANESBRANDS INC UW BOYS</t>
  </si>
  <si>
    <t>F19 LBB GIRL PINK PANTS</t>
  </si>
  <si>
    <t>F19 LBB BOY 2PK PANT</t>
  </si>
  <si>
    <t>S20 G BSPS YELLOW DOTS</t>
  </si>
  <si>
    <t>1H389710</t>
  </si>
  <si>
    <t>BODYSUIT: COTTON; PANTS: COTTON/POLYESTER/ELASTANE</t>
  </si>
  <si>
    <t>S20 B BSPS DINO</t>
  </si>
  <si>
    <t>1H446210</t>
  </si>
  <si>
    <t>SEQUIN APPLIQUE PUFF SLE</t>
  </si>
  <si>
    <t>2ARMPAVM</t>
  </si>
  <si>
    <t>SELF ESTEEM/ALL ACCESS APPAREL</t>
  </si>
  <si>
    <t>Y NK EVRYDY CUSH CRW 3PR</t>
  </si>
  <si>
    <t>SX7821</t>
  </si>
  <si>
    <t>BRNOVERFLW</t>
  </si>
  <si>
    <t>POLYESTER/SPANDEX/NYLON</t>
  </si>
  <si>
    <t>GIRL BUNNY PLUSH</t>
  </si>
  <si>
    <t>100085024BB</t>
  </si>
  <si>
    <t>S20 BLUE PLAID MINT SET</t>
  </si>
  <si>
    <t>1H395210</t>
  </si>
  <si>
    <t>TURBO MODE DF SS TEE</t>
  </si>
  <si>
    <t>86F353G</t>
  </si>
  <si>
    <t>NIKE 2-7/HADDAD GROUP</t>
  </si>
  <si>
    <t>AWESOMENESS SS TEE</t>
  </si>
  <si>
    <t>86G153G</t>
  </si>
  <si>
    <t>PASTEL MULTI PLAID</t>
  </si>
  <si>
    <t>81BK1504</t>
  </si>
  <si>
    <t>NAUTICA/PVH NECKWEAR INC</t>
  </si>
  <si>
    <t>ETHAN STRIPE</t>
  </si>
  <si>
    <t>81K01402</t>
  </si>
  <si>
    <t>WALLACE CHECK</t>
  </si>
  <si>
    <t>81BK1506</t>
  </si>
  <si>
    <t>PORT PLAID</t>
  </si>
  <si>
    <t>81BK1505</t>
  </si>
  <si>
    <t>CAMDEN STRIPE</t>
  </si>
  <si>
    <t>81K01401</t>
  </si>
  <si>
    <t>STARBOARD PLAID</t>
  </si>
  <si>
    <t>81K01501</t>
  </si>
  <si>
    <t>MATTHEW SOLID</t>
  </si>
  <si>
    <t>81BK1202</t>
  </si>
  <si>
    <t>OLIVER DOT</t>
  </si>
  <si>
    <t>81K01302</t>
  </si>
  <si>
    <t>SAIL PLAID</t>
  </si>
  <si>
    <t>81K01503</t>
  </si>
  <si>
    <t>2 PACK CREW</t>
  </si>
  <si>
    <t>RKCNH2MH6</t>
  </si>
  <si>
    <t>MINI FLORAL</t>
  </si>
  <si>
    <t>81BK1603</t>
  </si>
  <si>
    <t>SPRING DOT</t>
  </si>
  <si>
    <t>81BK1301</t>
  </si>
  <si>
    <t>81K01202</t>
  </si>
  <si>
    <t>SNOWFLAKE TIE</t>
  </si>
  <si>
    <t>81K94691</t>
  </si>
  <si>
    <t>TARTAN TIE</t>
  </si>
  <si>
    <t>81K94591</t>
  </si>
  <si>
    <t>FLORAL RASHGRD SET</t>
  </si>
  <si>
    <t>100076939BG</t>
  </si>
  <si>
    <t>POLYESTER/SPANDEX; LINING: POLYESTER; TIES: POLYESTER</t>
  </si>
  <si>
    <t>SEAMLESS HI-T SPORT BRA</t>
  </si>
  <si>
    <t>M4323D</t>
  </si>
  <si>
    <t>MAIDENFORM/DELTA GALIL (498/893)</t>
  </si>
  <si>
    <t>NYLON/POLYESTER/SPANDEX</t>
  </si>
  <si>
    <t>VARSITY TAPING KNIT TOP</t>
  </si>
  <si>
    <t>412109F</t>
  </si>
  <si>
    <t>LEVI'S/HADDAD APPAREL-BIG</t>
  </si>
  <si>
    <t>Ivor GIRAFFE GOWN/HAT</t>
  </si>
  <si>
    <t>L634329</t>
  </si>
  <si>
    <t>8 INCH DRAGON PLUSH</t>
  </si>
  <si>
    <t>F19 LBB G 2PK SIDE SNAP</t>
  </si>
  <si>
    <t>COTTON; COTTON/POLYESTER</t>
  </si>
  <si>
    <t>PINK WHT SNUGGLE W SOCKS</t>
  </si>
  <si>
    <t>750433-MA</t>
  </si>
  <si>
    <t>MAX AND OLIVIA/CLOUD NINE CLOTHING</t>
  </si>
  <si>
    <t>PAJAMAS: COTTON/SPANDEX; SOCKS: POLYESTER</t>
  </si>
  <si>
    <t>11 INCH NARWHAL</t>
  </si>
  <si>
    <t>100060129BG</t>
  </si>
  <si>
    <t>COLOR BLOCKED LS TOP</t>
  </si>
  <si>
    <t>100082516GR</t>
  </si>
  <si>
    <t>8" COW PLUSH</t>
  </si>
  <si>
    <t>POLYESTER; POLYFILL BODY FILLING: POLYESTER</t>
  </si>
  <si>
    <t>BOY BUNNY PLUSH</t>
  </si>
  <si>
    <t>100085025BB</t>
  </si>
  <si>
    <t>GARY RAGLAN HENLEY</t>
  </si>
  <si>
    <t>UB2191758</t>
  </si>
  <si>
    <t>CAT PLUSH</t>
  </si>
  <si>
    <t>CHAMPION SS GRA</t>
  </si>
  <si>
    <t>8160CB</t>
  </si>
  <si>
    <t>CHAMPION/BELUGA INC</t>
  </si>
  <si>
    <t>S20 G CREEPER DINO BACK</t>
  </si>
  <si>
    <t>1H513110</t>
  </si>
  <si>
    <t>S20 B CREEPER BEAR PCKT</t>
  </si>
  <si>
    <t>1H510910</t>
  </si>
  <si>
    <t>S20 B CREEPER SLOTHS</t>
  </si>
  <si>
    <t>1H510810</t>
  </si>
  <si>
    <t>BOW HEADBAND PACK</t>
  </si>
  <si>
    <t>100063082BG</t>
  </si>
  <si>
    <t>PINK: COTTON/SPANDEX; GOLD/WHITE: POLYESTER; TULLE AND BOW: POLYESTER</t>
  </si>
  <si>
    <t>LEOPARD BORDER TEE</t>
  </si>
  <si>
    <t>100088145GR</t>
  </si>
  <si>
    <t>S20 G SNP WHALES</t>
  </si>
  <si>
    <t>1H298410</t>
  </si>
  <si>
    <t>GLITTER UNICORN/ IVORY O</t>
  </si>
  <si>
    <t>TRIMFIT INC GIRLS</t>
  </si>
  <si>
    <t>NYLON/SPANDEX</t>
  </si>
  <si>
    <t>2 PPK GIRL TIGHT TEX BOWBASIC</t>
  </si>
  <si>
    <t>MULTI HEARTS/ PINK OPAQU</t>
  </si>
  <si>
    <t>BUTTERFLY CABLE TEXTURED</t>
  </si>
  <si>
    <t>CUTE MINNIE PURSE</t>
  </si>
  <si>
    <t>TS5805GD7305</t>
  </si>
  <si>
    <t>ASSORTED</t>
  </si>
  <si>
    <t>EVY/EVY OF CALIFORNIA-LITTLE</t>
  </si>
  <si>
    <t>GLITTER HEART/ WHITE OPA</t>
  </si>
  <si>
    <t>PINK HINECK TANK</t>
  </si>
  <si>
    <t>100088537GR</t>
  </si>
  <si>
    <t>SIDE RUCHED RIB TEE</t>
  </si>
  <si>
    <t>100088530GR</t>
  </si>
  <si>
    <t>GLITTER BUTTERFLY/ WHITE</t>
  </si>
  <si>
    <t>2PK GOLD UNICORN&amp;OPAQUE BASIC</t>
  </si>
  <si>
    <t>S20 B CREEPER HIPPO</t>
  </si>
  <si>
    <t>1H510310</t>
  </si>
  <si>
    <t>F19 LBB B MITTS</t>
  </si>
  <si>
    <t>T SUNNY PLAID SHORT</t>
  </si>
  <si>
    <t>100079641TB</t>
  </si>
  <si>
    <t>T SPRING PLAID SHORT</t>
  </si>
  <si>
    <t>100077129TB</t>
  </si>
  <si>
    <t>T STRPED KNEE JOGGER</t>
  </si>
  <si>
    <t>100064493TB</t>
  </si>
  <si>
    <t>BEST FRIEND SOCK 3PK</t>
  </si>
  <si>
    <t>FIRST IMPRESSIONS-EDI/CRYSTAL HOS</t>
  </si>
  <si>
    <t>COTTON/NYLON/SPANDEX</t>
  </si>
  <si>
    <t>5PK STAR WARS NO SHOW</t>
  </si>
  <si>
    <t>HIGH POINT DESIGN SOCKS BOYS</t>
  </si>
  <si>
    <t>ICECREAM TREAT TEE</t>
  </si>
  <si>
    <t>100087474LG</t>
  </si>
  <si>
    <t>OMBRE UNICORNS TEE</t>
  </si>
  <si>
    <t>100087558LG</t>
  </si>
  <si>
    <t>UNI STAR STRIPE TEE</t>
  </si>
  <si>
    <t>100087484LG</t>
  </si>
  <si>
    <t>RAINBOW STAR TEE</t>
  </si>
  <si>
    <t>100087471LG</t>
  </si>
  <si>
    <t>TIERED BFLY TEE</t>
  </si>
  <si>
    <t>100087482LG</t>
  </si>
  <si>
    <t>BOWL OF UNI TEE</t>
  </si>
  <si>
    <t>100087602LG</t>
  </si>
  <si>
    <t>BFLY CUPCAKE TEE</t>
  </si>
  <si>
    <t>100087607LG</t>
  </si>
  <si>
    <t>MERMAID GIRLS TEE</t>
  </si>
  <si>
    <t>100087473LG</t>
  </si>
  <si>
    <t>BUNNY BUM TEE</t>
  </si>
  <si>
    <t>100087614LG</t>
  </si>
  <si>
    <t>GIRAFFE HEART TEE</t>
  </si>
  <si>
    <t>100087553LG</t>
  </si>
  <si>
    <t>RAINBOW DESSERT TEE</t>
  </si>
  <si>
    <t>100098982LG</t>
  </si>
  <si>
    <t>MULTI RAINBOW TEE</t>
  </si>
  <si>
    <t>100087563LG</t>
  </si>
  <si>
    <t>DANCING UNI TEE</t>
  </si>
  <si>
    <t>100087477LG</t>
  </si>
  <si>
    <t>BALLOON BIKE SS TEE</t>
  </si>
  <si>
    <t>100078523LG</t>
  </si>
  <si>
    <t>RAINBOW POCKET TEE</t>
  </si>
  <si>
    <t>100087480LG</t>
  </si>
  <si>
    <t>SKATER GIRL TEE</t>
  </si>
  <si>
    <t>100087485LG</t>
  </si>
  <si>
    <t>FORTNITE</t>
  </si>
  <si>
    <t>VZ003BNSZA-BLU</t>
  </si>
  <si>
    <t>PLANET SOX/CENTRIC SOCKS LLC BOYS</t>
  </si>
  <si>
    <t>T SCHIFFLI BERMUDA</t>
  </si>
  <si>
    <t>100084390TG</t>
  </si>
  <si>
    <t>SHERPA JOGGER</t>
  </si>
  <si>
    <t>SS POLO</t>
  </si>
  <si>
    <t>100081780BB</t>
  </si>
  <si>
    <t>CAMO JOGGER</t>
  </si>
  <si>
    <t>100064418BB</t>
  </si>
  <si>
    <t>FRENCH LOOP JOGGER BASIC</t>
  </si>
  <si>
    <t>6151FI419</t>
  </si>
  <si>
    <t>ANIMAL STRIPE JOGGER</t>
  </si>
  <si>
    <t>100076189BB</t>
  </si>
  <si>
    <t>ALL OVER DINO JOGGER</t>
  </si>
  <si>
    <t>100076184BB</t>
  </si>
  <si>
    <t>MED BROWN</t>
  </si>
  <si>
    <t>T KOALA TEE</t>
  </si>
  <si>
    <t>100084416TG</t>
  </si>
  <si>
    <t>LT/PAS ORG</t>
  </si>
  <si>
    <t>QUILTED PANT</t>
  </si>
  <si>
    <t>SLUB POLO</t>
  </si>
  <si>
    <t>100084103BB</t>
  </si>
  <si>
    <t>MED ORANGE</t>
  </si>
  <si>
    <t>GAMER OVER GLITCH</t>
  </si>
  <si>
    <t>1YBY0676</t>
  </si>
  <si>
    <t>HYBRID PROMOTIONS</t>
  </si>
  <si>
    <t>THE ARM LIZZARD</t>
  </si>
  <si>
    <t>1JBY0984</t>
  </si>
  <si>
    <t>CIRCLE YOGA PANT</t>
  </si>
  <si>
    <t>100084048BB</t>
  </si>
  <si>
    <t>FLORAL NECK TUNIC</t>
  </si>
  <si>
    <t>100084424BG</t>
  </si>
  <si>
    <t>T SS ROAR TEE</t>
  </si>
  <si>
    <t>100077433TB</t>
  </si>
  <si>
    <t>FLORAL BORDR LEGGING</t>
  </si>
  <si>
    <t>100084388BG</t>
  </si>
  <si>
    <t>T SS ZEBRA FACE TEE</t>
  </si>
  <si>
    <t>100077434TB</t>
  </si>
  <si>
    <t>SS AO ANIMAL PRINT T</t>
  </si>
  <si>
    <t>100077454BB</t>
  </si>
  <si>
    <t>TEXTURED LEGGING</t>
  </si>
  <si>
    <t>100063601BG</t>
  </si>
  <si>
    <t>CONFETTI SHORT</t>
  </si>
  <si>
    <t>100084030BG</t>
  </si>
  <si>
    <t>CHASING DOG TEE</t>
  </si>
  <si>
    <t>100084435BG</t>
  </si>
  <si>
    <t>FLOWER GIRL TEE</t>
  </si>
  <si>
    <t>100084417BG</t>
  </si>
  <si>
    <t>BIRDIE TEE</t>
  </si>
  <si>
    <t>100084426BG</t>
  </si>
  <si>
    <t>BUTTERFLY TEE</t>
  </si>
  <si>
    <t>100084421BG</t>
  </si>
  <si>
    <t>GARDEN BIB SET</t>
  </si>
  <si>
    <t>100084034BG</t>
  </si>
  <si>
    <t>WHALE TEE</t>
  </si>
  <si>
    <t>100084105BB</t>
  </si>
  <si>
    <t>TRAIN ENGINE TEE</t>
  </si>
  <si>
    <t>100084128BB</t>
  </si>
  <si>
    <t>DADDY LOVES ME TEE BASIC</t>
  </si>
  <si>
    <t>100063040BB</t>
  </si>
  <si>
    <t>MEDIUN RED</t>
  </si>
  <si>
    <t>LION TEE</t>
  </si>
  <si>
    <t>100084097BB</t>
  </si>
  <si>
    <t>BUNNY BOW TEE</t>
  </si>
  <si>
    <t>100084432BG</t>
  </si>
  <si>
    <t>ELEPHANTS TEE</t>
  </si>
  <si>
    <t>100084418BG</t>
  </si>
  <si>
    <t>BEST BROTHER EVER T</t>
  </si>
  <si>
    <t>100084815BB</t>
  </si>
  <si>
    <t>FISHIES TEE</t>
  </si>
  <si>
    <t>100084111BB</t>
  </si>
  <si>
    <t>SUNDAY FUNDAY TEE</t>
  </si>
  <si>
    <t>100084131BB</t>
  </si>
  <si>
    <t>FLORAL BIKER SHORT</t>
  </si>
  <si>
    <t>100084396BG</t>
  </si>
  <si>
    <t>SS STACKED ANIMALS T</t>
  </si>
  <si>
    <t>100077450BB</t>
  </si>
  <si>
    <t>BORN LUCKY TEE</t>
  </si>
  <si>
    <t>100084812BB</t>
  </si>
  <si>
    <t>QUILTED HAT</t>
  </si>
  <si>
    <t>OPAQUE TIGHT</t>
  </si>
  <si>
    <t>100090643BG</t>
  </si>
  <si>
    <t>LACE ILLUSION BODICE</t>
  </si>
  <si>
    <t>S497390</t>
  </si>
  <si>
    <t>MADRAS-SS BD-TOPS-SHIRT</t>
  </si>
  <si>
    <t>MINNIE SPRING DRESS</t>
  </si>
  <si>
    <t>KV00147GD9411</t>
  </si>
  <si>
    <t>FLOWER CROWN DRESS</t>
  </si>
  <si>
    <t>KV00125GHK0708</t>
  </si>
  <si>
    <t>PINK THIN STRAP</t>
  </si>
  <si>
    <t>E478970</t>
  </si>
  <si>
    <t>PULL ON BUCKLE SHORT</t>
  </si>
  <si>
    <t>TLSDC07F-740</t>
  </si>
  <si>
    <t>TIMBERLAND/KHQ INVESTMENT CONSIGN</t>
  </si>
  <si>
    <t>WHOLE HEARTED LS</t>
  </si>
  <si>
    <t>ERLWR03149</t>
  </si>
  <si>
    <t>ROXY/QUIKSILVER/BOARDRIDERS 7-16</t>
  </si>
  <si>
    <t>SHORTY SHORT</t>
  </si>
  <si>
    <t>41A873F</t>
  </si>
  <si>
    <t>PINK 2 PC LEGGING SET</t>
  </si>
  <si>
    <t>F148548</t>
  </si>
  <si>
    <t>DENIM BERMUDA SHORT</t>
  </si>
  <si>
    <t>100088503GR</t>
  </si>
  <si>
    <t>LILLY</t>
  </si>
  <si>
    <t>CS20I08H</t>
  </si>
  <si>
    <t>WILLIAM CARTER/VIDA SHOES</t>
  </si>
  <si>
    <t>023B JUMPMAN KNIT ROMPER</t>
  </si>
  <si>
    <t>5M5301G</t>
  </si>
  <si>
    <t>JORDAN/HADDAD APPAREL GROUP LTD</t>
  </si>
  <si>
    <t>LAUGHING MICKEY</t>
  </si>
  <si>
    <t>2BDNY3920</t>
  </si>
  <si>
    <t>T BUNNY SISTERS TEE</t>
  </si>
  <si>
    <t>100084425TG</t>
  </si>
  <si>
    <t>CHILDRENS APPAREL &amp; ACCESSORIES</t>
  </si>
  <si>
    <t>WEIGHT 188</t>
  </si>
  <si>
    <t># OF UNITS 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</si>
</sst>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152400</xdr:rowOff>
    </xdr:from>
    <xdr:to>
      <xdr:col>0</xdr:col>
      <xdr:colOff>4267200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0E279A-1753-EC41-B52E-D3AE0E226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52400"/>
          <a:ext cx="38100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600E-A213-7C45-AE43-2B7DA5646707}">
  <dimension ref="A6:J382"/>
  <sheetViews>
    <sheetView tabSelected="1" workbookViewId="0">
      <selection activeCell="G1" sqref="G1:K1048576"/>
    </sheetView>
  </sheetViews>
  <sheetFormatPr baseColWidth="10" defaultRowHeight="16" x14ac:dyDescent="0.2"/>
  <cols>
    <col min="1" max="1" width="61.83203125" customWidth="1"/>
  </cols>
  <sheetData>
    <row r="6" spans="1:10" x14ac:dyDescent="0.2">
      <c r="A6" s="7">
        <v>12956860</v>
      </c>
    </row>
    <row r="7" spans="1:10" x14ac:dyDescent="0.2">
      <c r="A7" s="8" t="s">
        <v>652</v>
      </c>
    </row>
    <row r="8" spans="1:10" x14ac:dyDescent="0.2">
      <c r="A8" s="9" t="s">
        <v>653</v>
      </c>
    </row>
    <row r="9" spans="1:10" x14ac:dyDescent="0.2">
      <c r="A9" s="10" t="s">
        <v>654</v>
      </c>
    </row>
    <row r="10" spans="1:10" x14ac:dyDescent="0.2">
      <c r="A10" s="11">
        <v>4990</v>
      </c>
    </row>
    <row r="11" spans="1:10" x14ac:dyDescent="0.2">
      <c r="A11" s="10"/>
    </row>
    <row r="14" spans="1:10" ht="39" x14ac:dyDescent="0.2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</row>
    <row r="15" spans="1:10" ht="53" x14ac:dyDescent="0.2">
      <c r="A15" s="2" t="s">
        <v>10</v>
      </c>
      <c r="B15" s="3">
        <v>1</v>
      </c>
      <c r="C15" s="5">
        <v>84.99</v>
      </c>
      <c r="D15" s="4">
        <v>84.99</v>
      </c>
      <c r="E15" s="3" t="s">
        <v>11</v>
      </c>
      <c r="F15" s="2" t="s">
        <v>12</v>
      </c>
      <c r="G15" s="2" t="s">
        <v>13</v>
      </c>
      <c r="H15" s="2" t="s">
        <v>14</v>
      </c>
      <c r="I15" s="2" t="s">
        <v>15</v>
      </c>
      <c r="J15" s="6" t="str">
        <f>HYPERLINK("http://slimages.macys.com/is/image/MCY/8404710 ")</f>
        <v xml:space="preserve">http://slimages.macys.com/is/image/MCY/8404710 </v>
      </c>
    </row>
    <row r="16" spans="1:10" ht="66" x14ac:dyDescent="0.2">
      <c r="A16" s="2" t="s">
        <v>16</v>
      </c>
      <c r="B16" s="3">
        <v>1</v>
      </c>
      <c r="C16" s="5">
        <v>76.989999999999995</v>
      </c>
      <c r="D16" s="4">
        <v>76.989999999999995</v>
      </c>
      <c r="E16" s="3" t="s">
        <v>17</v>
      </c>
      <c r="F16" s="2" t="s">
        <v>18</v>
      </c>
      <c r="G16" s="2" t="s">
        <v>19</v>
      </c>
      <c r="H16" s="2" t="s">
        <v>14</v>
      </c>
      <c r="I16" s="2" t="s">
        <v>20</v>
      </c>
      <c r="J16" s="6" t="str">
        <f>HYPERLINK("http://slimages.macys.com/is/image/MCY/16903148 ")</f>
        <v xml:space="preserve">http://slimages.macys.com/is/image/MCY/16903148 </v>
      </c>
    </row>
    <row r="17" spans="1:10" ht="66" x14ac:dyDescent="0.2">
      <c r="A17" s="2" t="s">
        <v>21</v>
      </c>
      <c r="B17" s="3">
        <v>1</v>
      </c>
      <c r="C17" s="5">
        <v>76.989999999999995</v>
      </c>
      <c r="D17" s="4">
        <v>76.989999999999995</v>
      </c>
      <c r="E17" s="3" t="s">
        <v>22</v>
      </c>
      <c r="F17" s="2" t="s">
        <v>23</v>
      </c>
      <c r="G17" s="2" t="s">
        <v>19</v>
      </c>
      <c r="H17" s="2" t="s">
        <v>14</v>
      </c>
      <c r="I17" s="2" t="s">
        <v>20</v>
      </c>
      <c r="J17" s="6" t="str">
        <f>HYPERLINK("http://slimages.macys.com/is/image/MCY/16903187 ")</f>
        <v xml:space="preserve">http://slimages.macys.com/is/image/MCY/16903187 </v>
      </c>
    </row>
    <row r="18" spans="1:10" ht="66" x14ac:dyDescent="0.2">
      <c r="A18" s="2" t="s">
        <v>21</v>
      </c>
      <c r="B18" s="3">
        <v>4</v>
      </c>
      <c r="C18" s="5">
        <v>76.989999999999995</v>
      </c>
      <c r="D18" s="4">
        <v>307.95999999999998</v>
      </c>
      <c r="E18" s="3" t="s">
        <v>22</v>
      </c>
      <c r="F18" s="2" t="s">
        <v>23</v>
      </c>
      <c r="G18" s="2" t="s">
        <v>19</v>
      </c>
      <c r="H18" s="2" t="s">
        <v>14</v>
      </c>
      <c r="I18" s="2" t="s">
        <v>20</v>
      </c>
      <c r="J18" s="6" t="str">
        <f>HYPERLINK("http://slimages.macys.com/is/image/MCY/16903187 ")</f>
        <v xml:space="preserve">http://slimages.macys.com/is/image/MCY/16903187 </v>
      </c>
    </row>
    <row r="19" spans="1:10" ht="66" x14ac:dyDescent="0.2">
      <c r="A19" s="2" t="s">
        <v>24</v>
      </c>
      <c r="B19" s="3">
        <v>4</v>
      </c>
      <c r="C19" s="5">
        <v>76.989999999999995</v>
      </c>
      <c r="D19" s="4">
        <v>307.95999999999998</v>
      </c>
      <c r="E19" s="3" t="s">
        <v>25</v>
      </c>
      <c r="F19" s="2" t="s">
        <v>26</v>
      </c>
      <c r="G19" s="2" t="s">
        <v>19</v>
      </c>
      <c r="H19" s="2" t="s">
        <v>14</v>
      </c>
      <c r="I19" s="2" t="s">
        <v>20</v>
      </c>
      <c r="J19" s="6" t="str">
        <f>HYPERLINK("http://slimages.macys.com/is/image/MCY/16902272 ")</f>
        <v xml:space="preserve">http://slimages.macys.com/is/image/MCY/16902272 </v>
      </c>
    </row>
    <row r="20" spans="1:10" ht="66" x14ac:dyDescent="0.2">
      <c r="A20" s="2" t="s">
        <v>24</v>
      </c>
      <c r="B20" s="3">
        <v>1</v>
      </c>
      <c r="C20" s="5">
        <v>76.989999999999995</v>
      </c>
      <c r="D20" s="4">
        <v>76.989999999999995</v>
      </c>
      <c r="E20" s="3" t="s">
        <v>25</v>
      </c>
      <c r="F20" s="2" t="s">
        <v>26</v>
      </c>
      <c r="G20" s="2" t="s">
        <v>19</v>
      </c>
      <c r="H20" s="2" t="s">
        <v>14</v>
      </c>
      <c r="I20" s="2" t="s">
        <v>20</v>
      </c>
      <c r="J20" s="6" t="str">
        <f>HYPERLINK("http://slimages.macys.com/is/image/MCY/16902272 ")</f>
        <v xml:space="preserve">http://slimages.macys.com/is/image/MCY/16902272 </v>
      </c>
    </row>
    <row r="21" spans="1:10" ht="66" x14ac:dyDescent="0.2">
      <c r="A21" s="2" t="s">
        <v>24</v>
      </c>
      <c r="B21" s="3">
        <v>2</v>
      </c>
      <c r="C21" s="5">
        <v>76.989999999999995</v>
      </c>
      <c r="D21" s="4">
        <v>153.97999999999999</v>
      </c>
      <c r="E21" s="3" t="s">
        <v>25</v>
      </c>
      <c r="F21" s="2" t="s">
        <v>26</v>
      </c>
      <c r="G21" s="2" t="s">
        <v>19</v>
      </c>
      <c r="H21" s="2" t="s">
        <v>14</v>
      </c>
      <c r="I21" s="2" t="s">
        <v>20</v>
      </c>
      <c r="J21" s="6" t="str">
        <f>HYPERLINK("http://slimages.macys.com/is/image/MCY/16902272 ")</f>
        <v xml:space="preserve">http://slimages.macys.com/is/image/MCY/16902272 </v>
      </c>
    </row>
    <row r="22" spans="1:10" ht="66" x14ac:dyDescent="0.2">
      <c r="A22" s="2" t="s">
        <v>24</v>
      </c>
      <c r="B22" s="3">
        <v>2</v>
      </c>
      <c r="C22" s="5">
        <v>76.989999999999995</v>
      </c>
      <c r="D22" s="4">
        <v>153.97999999999999</v>
      </c>
      <c r="E22" s="3" t="s">
        <v>25</v>
      </c>
      <c r="F22" s="2" t="s">
        <v>26</v>
      </c>
      <c r="G22" s="2" t="s">
        <v>19</v>
      </c>
      <c r="H22" s="2" t="s">
        <v>14</v>
      </c>
      <c r="I22" s="2" t="s">
        <v>20</v>
      </c>
      <c r="J22" s="6" t="str">
        <f>HYPERLINK("http://slimages.macys.com/is/image/MCY/16902272 ")</f>
        <v xml:space="preserve">http://slimages.macys.com/is/image/MCY/16902272 </v>
      </c>
    </row>
    <row r="23" spans="1:10" ht="66" x14ac:dyDescent="0.2">
      <c r="A23" s="2" t="s">
        <v>24</v>
      </c>
      <c r="B23" s="3">
        <v>3</v>
      </c>
      <c r="C23" s="5">
        <v>76.989999999999995</v>
      </c>
      <c r="D23" s="4">
        <v>230.97</v>
      </c>
      <c r="E23" s="3" t="s">
        <v>25</v>
      </c>
      <c r="F23" s="2" t="s">
        <v>26</v>
      </c>
      <c r="G23" s="2" t="s">
        <v>19</v>
      </c>
      <c r="H23" s="2" t="s">
        <v>14</v>
      </c>
      <c r="I23" s="2" t="s">
        <v>20</v>
      </c>
      <c r="J23" s="6" t="str">
        <f>HYPERLINK("http://slimages.macys.com/is/image/MCY/16902272 ")</f>
        <v xml:space="preserve">http://slimages.macys.com/is/image/MCY/16902272 </v>
      </c>
    </row>
    <row r="24" spans="1:10" ht="66" x14ac:dyDescent="0.2">
      <c r="A24" s="2" t="s">
        <v>21</v>
      </c>
      <c r="B24" s="3">
        <v>2</v>
      </c>
      <c r="C24" s="5">
        <v>76.989999999999995</v>
      </c>
      <c r="D24" s="4">
        <v>153.97999999999999</v>
      </c>
      <c r="E24" s="3" t="s">
        <v>22</v>
      </c>
      <c r="F24" s="2" t="s">
        <v>23</v>
      </c>
      <c r="G24" s="2" t="s">
        <v>19</v>
      </c>
      <c r="H24" s="2" t="s">
        <v>14</v>
      </c>
      <c r="I24" s="2" t="s">
        <v>20</v>
      </c>
      <c r="J24" s="6" t="str">
        <f>HYPERLINK("http://slimages.macys.com/is/image/MCY/16903187 ")</f>
        <v xml:space="preserve">http://slimages.macys.com/is/image/MCY/16903187 </v>
      </c>
    </row>
    <row r="25" spans="1:10" ht="53" x14ac:dyDescent="0.2">
      <c r="A25" s="2" t="s">
        <v>27</v>
      </c>
      <c r="B25" s="3">
        <v>1</v>
      </c>
      <c r="C25" s="5">
        <v>74.989999999999995</v>
      </c>
      <c r="D25" s="4">
        <v>74.989999999999995</v>
      </c>
      <c r="E25" s="3" t="s">
        <v>28</v>
      </c>
      <c r="F25" s="2" t="s">
        <v>29</v>
      </c>
      <c r="G25" s="2" t="s">
        <v>19</v>
      </c>
      <c r="H25" s="2" t="s">
        <v>14</v>
      </c>
      <c r="I25" s="2" t="s">
        <v>30</v>
      </c>
      <c r="J25" s="6" t="str">
        <f>HYPERLINK("http://slimages.macys.com/is/image/MCY/11072902 ")</f>
        <v xml:space="preserve">http://slimages.macys.com/is/image/MCY/11072902 </v>
      </c>
    </row>
    <row r="26" spans="1:10" ht="92" x14ac:dyDescent="0.2">
      <c r="A26" s="2" t="s">
        <v>31</v>
      </c>
      <c r="B26" s="3">
        <v>1</v>
      </c>
      <c r="C26" s="5">
        <v>79.5</v>
      </c>
      <c r="D26" s="4">
        <v>79.5</v>
      </c>
      <c r="E26" s="3">
        <v>313784363002</v>
      </c>
      <c r="F26" s="2" t="s">
        <v>32</v>
      </c>
      <c r="G26" s="2" t="s">
        <v>33</v>
      </c>
      <c r="H26" s="2" t="s">
        <v>14</v>
      </c>
      <c r="I26" s="2" t="s">
        <v>34</v>
      </c>
      <c r="J26" s="6" t="str">
        <f>HYPERLINK("http://images.bloomingdales.com/is/image/BLM/10834887 ")</f>
        <v xml:space="preserve">http://images.bloomingdales.com/is/image/BLM/10834887 </v>
      </c>
    </row>
    <row r="27" spans="1:10" ht="92" x14ac:dyDescent="0.2">
      <c r="A27" s="2" t="s">
        <v>31</v>
      </c>
      <c r="B27" s="3">
        <v>1</v>
      </c>
      <c r="C27" s="5">
        <v>79.5</v>
      </c>
      <c r="D27" s="4">
        <v>79.5</v>
      </c>
      <c r="E27" s="3">
        <v>313784363002</v>
      </c>
      <c r="F27" s="2" t="s">
        <v>32</v>
      </c>
      <c r="G27" s="2" t="s">
        <v>33</v>
      </c>
      <c r="H27" s="2" t="s">
        <v>14</v>
      </c>
      <c r="I27" s="2" t="s">
        <v>34</v>
      </c>
      <c r="J27" s="6" t="str">
        <f>HYPERLINK("http://images.bloomingdales.com/is/image/BLM/10834887 ")</f>
        <v xml:space="preserve">http://images.bloomingdales.com/is/image/BLM/10834887 </v>
      </c>
    </row>
    <row r="28" spans="1:10" ht="66" x14ac:dyDescent="0.2">
      <c r="A28" s="2" t="s">
        <v>35</v>
      </c>
      <c r="B28" s="3">
        <v>1</v>
      </c>
      <c r="C28" s="5">
        <v>75</v>
      </c>
      <c r="D28" s="4">
        <v>75</v>
      </c>
      <c r="E28" s="3">
        <v>313784386002</v>
      </c>
      <c r="F28" s="2" t="s">
        <v>36</v>
      </c>
      <c r="G28" s="2" t="s">
        <v>33</v>
      </c>
      <c r="H28" s="2" t="s">
        <v>14</v>
      </c>
      <c r="I28" s="2" t="s">
        <v>37</v>
      </c>
      <c r="J28" s="6" t="str">
        <f>HYPERLINK("http://slimages.macys.com/is/image/MCY/16565144 ")</f>
        <v xml:space="preserve">http://slimages.macys.com/is/image/MCY/16565144 </v>
      </c>
    </row>
    <row r="29" spans="1:10" ht="66" x14ac:dyDescent="0.2">
      <c r="A29" s="2" t="s">
        <v>38</v>
      </c>
      <c r="B29" s="3">
        <v>1</v>
      </c>
      <c r="C29" s="5">
        <v>69</v>
      </c>
      <c r="D29" s="4">
        <v>69</v>
      </c>
      <c r="E29" s="3" t="s">
        <v>39</v>
      </c>
      <c r="F29" s="2" t="s">
        <v>40</v>
      </c>
      <c r="G29" s="2" t="s">
        <v>41</v>
      </c>
      <c r="H29" s="2" t="s">
        <v>42</v>
      </c>
      <c r="I29" s="2" t="s">
        <v>43</v>
      </c>
      <c r="J29" s="6" t="str">
        <f>HYPERLINK("http://images.bloomingdales.com/is/image/BLM/9556406 ")</f>
        <v xml:space="preserve">http://images.bloomingdales.com/is/image/BLM/9556406 </v>
      </c>
    </row>
    <row r="30" spans="1:10" ht="66" x14ac:dyDescent="0.2">
      <c r="A30" s="2" t="s">
        <v>44</v>
      </c>
      <c r="B30" s="3">
        <v>1</v>
      </c>
      <c r="C30" s="5">
        <v>59.5</v>
      </c>
      <c r="D30" s="4">
        <v>59.5</v>
      </c>
      <c r="E30" s="3">
        <v>312785817001</v>
      </c>
      <c r="F30" s="2" t="s">
        <v>12</v>
      </c>
      <c r="G30" s="2" t="s">
        <v>33</v>
      </c>
      <c r="H30" s="2" t="s">
        <v>14</v>
      </c>
      <c r="I30" s="2" t="s">
        <v>45</v>
      </c>
      <c r="J30" s="6" t="str">
        <f>HYPERLINK("http://slimages.macys.com/is/image/MCY/16649824 ")</f>
        <v xml:space="preserve">http://slimages.macys.com/is/image/MCY/16649824 </v>
      </c>
    </row>
    <row r="31" spans="1:10" ht="79" x14ac:dyDescent="0.2">
      <c r="A31" s="2" t="s">
        <v>46</v>
      </c>
      <c r="B31" s="3">
        <v>1</v>
      </c>
      <c r="C31" s="5">
        <v>59.5</v>
      </c>
      <c r="D31" s="4">
        <v>59.5</v>
      </c>
      <c r="E31" s="3">
        <v>310761064001</v>
      </c>
      <c r="F31" s="2" t="s">
        <v>40</v>
      </c>
      <c r="G31" s="2" t="s">
        <v>33</v>
      </c>
      <c r="H31" s="2" t="s">
        <v>14</v>
      </c>
      <c r="I31" s="2" t="s">
        <v>47</v>
      </c>
      <c r="J31" s="6" t="str">
        <f>HYPERLINK("http://slimages.macys.com/is/image/MCY/15505081 ")</f>
        <v xml:space="preserve">http://slimages.macys.com/is/image/MCY/15505081 </v>
      </c>
    </row>
    <row r="32" spans="1:10" ht="105" x14ac:dyDescent="0.2">
      <c r="A32" s="2" t="s">
        <v>48</v>
      </c>
      <c r="B32" s="3">
        <v>1</v>
      </c>
      <c r="C32" s="5">
        <v>50</v>
      </c>
      <c r="D32" s="4">
        <v>50</v>
      </c>
      <c r="E32" s="3" t="s">
        <v>49</v>
      </c>
      <c r="F32" s="2" t="s">
        <v>50</v>
      </c>
      <c r="G32" s="2" t="s">
        <v>51</v>
      </c>
      <c r="H32" s="2" t="s">
        <v>14</v>
      </c>
      <c r="I32" s="2" t="s">
        <v>52</v>
      </c>
      <c r="J32" s="6" t="str">
        <f>HYPERLINK("http://slimages.macys.com/is/image/MCY/16536037 ")</f>
        <v xml:space="preserve">http://slimages.macys.com/is/image/MCY/16536037 </v>
      </c>
    </row>
    <row r="33" spans="1:10" ht="105" x14ac:dyDescent="0.2">
      <c r="A33" s="2" t="s">
        <v>53</v>
      </c>
      <c r="B33" s="3">
        <v>1</v>
      </c>
      <c r="C33" s="5">
        <v>50</v>
      </c>
      <c r="D33" s="4">
        <v>50</v>
      </c>
      <c r="E33" s="3" t="s">
        <v>54</v>
      </c>
      <c r="F33" s="2" t="s">
        <v>55</v>
      </c>
      <c r="G33" s="2" t="s">
        <v>51</v>
      </c>
      <c r="H33" s="2" t="s">
        <v>14</v>
      </c>
      <c r="I33" s="2" t="s">
        <v>52</v>
      </c>
      <c r="J33" s="6" t="str">
        <f>HYPERLINK("http://slimages.macys.com/is/image/MCY/16536211 ")</f>
        <v xml:space="preserve">http://slimages.macys.com/is/image/MCY/16536211 </v>
      </c>
    </row>
    <row r="34" spans="1:10" ht="53" x14ac:dyDescent="0.2">
      <c r="A34" s="2" t="s">
        <v>56</v>
      </c>
      <c r="B34" s="3">
        <v>1</v>
      </c>
      <c r="C34" s="5">
        <v>49.95</v>
      </c>
      <c r="D34" s="4">
        <v>49.95</v>
      </c>
      <c r="E34" s="3" t="s">
        <v>57</v>
      </c>
      <c r="F34" s="2" t="s">
        <v>40</v>
      </c>
      <c r="G34" s="2" t="s">
        <v>58</v>
      </c>
      <c r="H34" s="2" t="s">
        <v>14</v>
      </c>
      <c r="I34" s="2" t="s">
        <v>59</v>
      </c>
      <c r="J34" s="6" t="str">
        <f>HYPERLINK("http://slimages.macys.com/is/image/MCY/10222406 ")</f>
        <v xml:space="preserve">http://slimages.macys.com/is/image/MCY/10222406 </v>
      </c>
    </row>
    <row r="35" spans="1:10" ht="92" x14ac:dyDescent="0.2">
      <c r="A35" s="2" t="s">
        <v>60</v>
      </c>
      <c r="B35" s="3">
        <v>1</v>
      </c>
      <c r="C35" s="5">
        <v>59</v>
      </c>
      <c r="D35" s="4">
        <v>59</v>
      </c>
      <c r="E35" s="3">
        <v>359164</v>
      </c>
      <c r="F35" s="2" t="s">
        <v>61</v>
      </c>
      <c r="G35" s="2" t="s">
        <v>62</v>
      </c>
      <c r="H35" s="2" t="s">
        <v>14</v>
      </c>
      <c r="I35" s="2" t="s">
        <v>63</v>
      </c>
      <c r="J35" s="6" t="str">
        <f>HYPERLINK("http://slimages.macys.com/is/image/MCY/12343121 ")</f>
        <v xml:space="preserve">http://slimages.macys.com/is/image/MCY/12343121 </v>
      </c>
    </row>
    <row r="36" spans="1:10" ht="66" x14ac:dyDescent="0.2">
      <c r="A36" s="2" t="s">
        <v>64</v>
      </c>
      <c r="B36" s="3">
        <v>1</v>
      </c>
      <c r="C36" s="5">
        <v>59</v>
      </c>
      <c r="D36" s="4">
        <v>59</v>
      </c>
      <c r="E36" s="3" t="s">
        <v>65</v>
      </c>
      <c r="F36" s="2" t="s">
        <v>40</v>
      </c>
      <c r="G36" s="2" t="s">
        <v>66</v>
      </c>
      <c r="H36" s="2"/>
      <c r="I36" s="2"/>
      <c r="J36" s="6" t="str">
        <f>HYPERLINK("http://images.bloomingdales.com/is/image/BLM/8553473 ")</f>
        <v xml:space="preserve">http://images.bloomingdales.com/is/image/BLM/8553473 </v>
      </c>
    </row>
    <row r="37" spans="1:10" ht="53" x14ac:dyDescent="0.2">
      <c r="A37" s="2" t="s">
        <v>67</v>
      </c>
      <c r="B37" s="3">
        <v>1</v>
      </c>
      <c r="C37" s="5">
        <v>49</v>
      </c>
      <c r="D37" s="4">
        <v>49</v>
      </c>
      <c r="E37" s="3" t="s">
        <v>68</v>
      </c>
      <c r="F37" s="2" t="s">
        <v>69</v>
      </c>
      <c r="G37" s="2" t="s">
        <v>70</v>
      </c>
      <c r="H37" s="2" t="s">
        <v>14</v>
      </c>
      <c r="I37" s="2" t="s">
        <v>71</v>
      </c>
      <c r="J37" s="6" t="str">
        <f>HYPERLINK("http://slimages.macys.com/is/image/MCY/3811468 ")</f>
        <v xml:space="preserve">http://slimages.macys.com/is/image/MCY/3811468 </v>
      </c>
    </row>
    <row r="38" spans="1:10" ht="66" x14ac:dyDescent="0.2">
      <c r="A38" s="2" t="s">
        <v>72</v>
      </c>
      <c r="B38" s="3">
        <v>1</v>
      </c>
      <c r="C38" s="5">
        <v>49.5</v>
      </c>
      <c r="D38" s="4">
        <v>49.5</v>
      </c>
      <c r="E38" s="3">
        <v>313751166001</v>
      </c>
      <c r="F38" s="2" t="s">
        <v>12</v>
      </c>
      <c r="G38" s="2" t="s">
        <v>33</v>
      </c>
      <c r="H38" s="2" t="s">
        <v>14</v>
      </c>
      <c r="I38" s="2" t="s">
        <v>73</v>
      </c>
      <c r="J38" s="6" t="str">
        <f>HYPERLINK("http://slimages.macys.com/is/image/MCY/15509257 ")</f>
        <v xml:space="preserve">http://slimages.macys.com/is/image/MCY/15509257 </v>
      </c>
    </row>
    <row r="39" spans="1:10" ht="53" x14ac:dyDescent="0.2">
      <c r="A39" s="2" t="s">
        <v>74</v>
      </c>
      <c r="B39" s="3">
        <v>1</v>
      </c>
      <c r="C39" s="5">
        <v>45.99</v>
      </c>
      <c r="D39" s="4">
        <v>45.99</v>
      </c>
      <c r="E39" s="3" t="s">
        <v>75</v>
      </c>
      <c r="F39" s="2" t="s">
        <v>76</v>
      </c>
      <c r="G39" s="2" t="s">
        <v>77</v>
      </c>
      <c r="H39" s="2" t="s">
        <v>14</v>
      </c>
      <c r="I39" s="2" t="s">
        <v>78</v>
      </c>
      <c r="J39" s="6" t="str">
        <f>HYPERLINK("http://slimages.macys.com/is/image/MCY/16213656 ")</f>
        <v xml:space="preserve">http://slimages.macys.com/is/image/MCY/16213656 </v>
      </c>
    </row>
    <row r="40" spans="1:10" ht="53" x14ac:dyDescent="0.2">
      <c r="A40" s="2" t="s">
        <v>79</v>
      </c>
      <c r="B40" s="3">
        <v>1</v>
      </c>
      <c r="C40" s="5">
        <v>49.99</v>
      </c>
      <c r="D40" s="4">
        <v>49.99</v>
      </c>
      <c r="E40" s="3" t="s">
        <v>79</v>
      </c>
      <c r="F40" s="2" t="s">
        <v>69</v>
      </c>
      <c r="G40" s="2" t="s">
        <v>80</v>
      </c>
      <c r="H40" s="2" t="s">
        <v>14</v>
      </c>
      <c r="I40" s="2" t="s">
        <v>81</v>
      </c>
      <c r="J40" s="6" t="str">
        <f>HYPERLINK("http://slimages.macys.com/is/image/MCY/16662201 ")</f>
        <v xml:space="preserve">http://slimages.macys.com/is/image/MCY/16662201 </v>
      </c>
    </row>
    <row r="41" spans="1:10" ht="79" x14ac:dyDescent="0.2">
      <c r="A41" s="2" t="s">
        <v>82</v>
      </c>
      <c r="B41" s="3">
        <v>1</v>
      </c>
      <c r="C41" s="5">
        <v>64.989999999999995</v>
      </c>
      <c r="D41" s="4">
        <v>64.989999999999995</v>
      </c>
      <c r="E41" s="3" t="s">
        <v>83</v>
      </c>
      <c r="F41" s="2" t="s">
        <v>12</v>
      </c>
      <c r="G41" s="2" t="s">
        <v>84</v>
      </c>
      <c r="H41" s="2" t="s">
        <v>14</v>
      </c>
      <c r="I41" s="2" t="s">
        <v>85</v>
      </c>
      <c r="J41" s="6" t="str">
        <f>HYPERLINK("http://slimages.macys.com/is/image/MCY/16055388 ")</f>
        <v xml:space="preserve">http://slimages.macys.com/is/image/MCY/16055388 </v>
      </c>
    </row>
    <row r="42" spans="1:10" ht="66" x14ac:dyDescent="0.2">
      <c r="A42" s="2" t="s">
        <v>86</v>
      </c>
      <c r="B42" s="3">
        <v>1</v>
      </c>
      <c r="C42" s="5">
        <v>45</v>
      </c>
      <c r="D42" s="4">
        <v>45</v>
      </c>
      <c r="E42" s="3">
        <v>313786044001</v>
      </c>
      <c r="F42" s="2" t="s">
        <v>12</v>
      </c>
      <c r="G42" s="2" t="s">
        <v>33</v>
      </c>
      <c r="H42" s="2"/>
      <c r="I42" s="2"/>
      <c r="J42" s="6" t="str">
        <f>HYPERLINK("http://slimages.macys.com/is/image/MCY/16744541 ")</f>
        <v xml:space="preserve">http://slimages.macys.com/is/image/MCY/16744541 </v>
      </c>
    </row>
    <row r="43" spans="1:10" ht="66" x14ac:dyDescent="0.2">
      <c r="A43" s="2" t="s">
        <v>87</v>
      </c>
      <c r="B43" s="3">
        <v>1</v>
      </c>
      <c r="C43" s="5">
        <v>45</v>
      </c>
      <c r="D43" s="4">
        <v>45</v>
      </c>
      <c r="E43" s="3">
        <v>323736959009</v>
      </c>
      <c r="F43" s="2" t="s">
        <v>32</v>
      </c>
      <c r="G43" s="2" t="s">
        <v>33</v>
      </c>
      <c r="H43" s="2"/>
      <c r="I43" s="2"/>
      <c r="J43" s="6" t="str">
        <f>HYPERLINK("http://slimages.macys.com/is/image/MCY/16696171 ")</f>
        <v xml:space="preserve">http://slimages.macys.com/is/image/MCY/16696171 </v>
      </c>
    </row>
    <row r="44" spans="1:10" ht="66" x14ac:dyDescent="0.2">
      <c r="A44" s="2" t="s">
        <v>88</v>
      </c>
      <c r="B44" s="3">
        <v>1</v>
      </c>
      <c r="C44" s="5">
        <v>45</v>
      </c>
      <c r="D44" s="4">
        <v>45</v>
      </c>
      <c r="E44" s="3">
        <v>313784534001</v>
      </c>
      <c r="F44" s="2" t="s">
        <v>12</v>
      </c>
      <c r="G44" s="2" t="s">
        <v>33</v>
      </c>
      <c r="H44" s="2" t="s">
        <v>14</v>
      </c>
      <c r="I44" s="2" t="s">
        <v>73</v>
      </c>
      <c r="J44" s="6" t="str">
        <f>HYPERLINK("http://slimages.macys.com/is/image/MCY/16565245 ")</f>
        <v xml:space="preserve">http://slimages.macys.com/is/image/MCY/16565245 </v>
      </c>
    </row>
    <row r="45" spans="1:10" ht="66" x14ac:dyDescent="0.2">
      <c r="A45" s="2" t="s">
        <v>89</v>
      </c>
      <c r="B45" s="3">
        <v>1</v>
      </c>
      <c r="C45" s="5">
        <v>45</v>
      </c>
      <c r="D45" s="4">
        <v>45</v>
      </c>
      <c r="E45" s="3">
        <v>323785749001</v>
      </c>
      <c r="F45" s="2" t="s">
        <v>69</v>
      </c>
      <c r="G45" s="2" t="s">
        <v>33</v>
      </c>
      <c r="H45" s="2"/>
      <c r="I45" s="2"/>
      <c r="J45" s="6" t="str">
        <f>HYPERLINK("http://slimages.macys.com/is/image/MCY/16813952 ")</f>
        <v xml:space="preserve">http://slimages.macys.com/is/image/MCY/16813952 </v>
      </c>
    </row>
    <row r="46" spans="1:10" ht="53" x14ac:dyDescent="0.2">
      <c r="A46" s="2" t="s">
        <v>90</v>
      </c>
      <c r="B46" s="3">
        <v>1</v>
      </c>
      <c r="C46" s="5">
        <v>59.99</v>
      </c>
      <c r="D46" s="4">
        <v>59.99</v>
      </c>
      <c r="E46" s="3" t="s">
        <v>91</v>
      </c>
      <c r="F46" s="2" t="s">
        <v>92</v>
      </c>
      <c r="G46" s="2" t="s">
        <v>84</v>
      </c>
      <c r="H46" s="2" t="s">
        <v>14</v>
      </c>
      <c r="I46" s="2" t="s">
        <v>93</v>
      </c>
      <c r="J46" s="6" t="str">
        <f>HYPERLINK("http://slimages.macys.com/is/image/MCY/16374880 ")</f>
        <v xml:space="preserve">http://slimages.macys.com/is/image/MCY/16374880 </v>
      </c>
    </row>
    <row r="47" spans="1:10" ht="53" x14ac:dyDescent="0.2">
      <c r="A47" s="2" t="s">
        <v>94</v>
      </c>
      <c r="B47" s="3">
        <v>1</v>
      </c>
      <c r="C47" s="5">
        <v>34.99</v>
      </c>
      <c r="D47" s="4">
        <v>34.99</v>
      </c>
      <c r="E47" s="3" t="s">
        <v>95</v>
      </c>
      <c r="F47" s="2" t="s">
        <v>76</v>
      </c>
      <c r="G47" s="2" t="s">
        <v>77</v>
      </c>
      <c r="H47" s="2" t="s">
        <v>14</v>
      </c>
      <c r="I47" s="2" t="s">
        <v>96</v>
      </c>
      <c r="J47" s="6" t="str">
        <f>HYPERLINK("http://slimages.macys.com/is/image/MCY/13758487 ")</f>
        <v xml:space="preserve">http://slimages.macys.com/is/image/MCY/13758487 </v>
      </c>
    </row>
    <row r="48" spans="1:10" ht="79" x14ac:dyDescent="0.2">
      <c r="A48" s="2" t="s">
        <v>97</v>
      </c>
      <c r="B48" s="3">
        <v>1</v>
      </c>
      <c r="C48" s="5">
        <v>39</v>
      </c>
      <c r="D48" s="4">
        <v>39</v>
      </c>
      <c r="E48" s="3">
        <v>363214</v>
      </c>
      <c r="F48" s="2" t="s">
        <v>98</v>
      </c>
      <c r="G48" s="2" t="s">
        <v>62</v>
      </c>
      <c r="H48" s="2" t="s">
        <v>14</v>
      </c>
      <c r="I48" s="2" t="s">
        <v>99</v>
      </c>
      <c r="J48" s="6" t="str">
        <f>HYPERLINK("http://slimages.macys.com/is/image/MCY/13403756 ")</f>
        <v xml:space="preserve">http://slimages.macys.com/is/image/MCY/13403756 </v>
      </c>
    </row>
    <row r="49" spans="1:10" ht="53" x14ac:dyDescent="0.2">
      <c r="A49" s="2" t="s">
        <v>100</v>
      </c>
      <c r="B49" s="3">
        <v>1</v>
      </c>
      <c r="C49" s="5">
        <v>54.99</v>
      </c>
      <c r="D49" s="4">
        <v>54.99</v>
      </c>
      <c r="E49" s="3" t="s">
        <v>101</v>
      </c>
      <c r="F49" s="2" t="s">
        <v>102</v>
      </c>
      <c r="G49" s="2" t="s">
        <v>103</v>
      </c>
      <c r="H49" s="2"/>
      <c r="I49" s="2"/>
      <c r="J49" s="6" t="str">
        <f>HYPERLINK("http://slimages.macys.com/is/image/MCY/16618010 ")</f>
        <v xml:space="preserve">http://slimages.macys.com/is/image/MCY/16618010 </v>
      </c>
    </row>
    <row r="50" spans="1:10" ht="53" x14ac:dyDescent="0.2">
      <c r="A50" s="2" t="s">
        <v>104</v>
      </c>
      <c r="B50" s="3">
        <v>1</v>
      </c>
      <c r="C50" s="5">
        <v>45</v>
      </c>
      <c r="D50" s="4">
        <v>45</v>
      </c>
      <c r="E50" s="3" t="s">
        <v>105</v>
      </c>
      <c r="F50" s="2" t="s">
        <v>40</v>
      </c>
      <c r="G50" s="2" t="s">
        <v>106</v>
      </c>
      <c r="H50" s="2" t="s">
        <v>14</v>
      </c>
      <c r="I50" s="2" t="s">
        <v>78</v>
      </c>
      <c r="J50" s="6" t="str">
        <f>HYPERLINK("http://slimages.macys.com/is/image/MCY/14838882 ")</f>
        <v xml:space="preserve">http://slimages.macys.com/is/image/MCY/14838882 </v>
      </c>
    </row>
    <row r="51" spans="1:10" ht="53" x14ac:dyDescent="0.2">
      <c r="A51" s="2" t="s">
        <v>107</v>
      </c>
      <c r="B51" s="3">
        <v>1</v>
      </c>
      <c r="C51" s="5">
        <v>33.5</v>
      </c>
      <c r="D51" s="4">
        <v>33.5</v>
      </c>
      <c r="E51" s="3" t="s">
        <v>108</v>
      </c>
      <c r="F51" s="2" t="s">
        <v>12</v>
      </c>
      <c r="G51" s="2" t="s">
        <v>13</v>
      </c>
      <c r="H51" s="2" t="s">
        <v>14</v>
      </c>
      <c r="I51" s="2" t="s">
        <v>15</v>
      </c>
      <c r="J51" s="6" t="str">
        <f>HYPERLINK("http://slimages.macys.com/is/image/MCY/8404744 ")</f>
        <v xml:space="preserve">http://slimages.macys.com/is/image/MCY/8404744 </v>
      </c>
    </row>
    <row r="52" spans="1:10" ht="53" x14ac:dyDescent="0.2">
      <c r="A52" s="2" t="s">
        <v>109</v>
      </c>
      <c r="B52" s="3">
        <v>1</v>
      </c>
      <c r="C52" s="5">
        <v>54.99</v>
      </c>
      <c r="D52" s="4">
        <v>54.99</v>
      </c>
      <c r="E52" s="3" t="s">
        <v>110</v>
      </c>
      <c r="F52" s="2" t="s">
        <v>92</v>
      </c>
      <c r="G52" s="2" t="s">
        <v>84</v>
      </c>
      <c r="H52" s="2" t="s">
        <v>14</v>
      </c>
      <c r="I52" s="2" t="s">
        <v>78</v>
      </c>
      <c r="J52" s="6" t="str">
        <f>HYPERLINK("http://slimages.macys.com/is/image/MCY/12381395 ")</f>
        <v xml:space="preserve">http://slimages.macys.com/is/image/MCY/12381395 </v>
      </c>
    </row>
    <row r="53" spans="1:10" ht="53" x14ac:dyDescent="0.2">
      <c r="A53" s="2" t="s">
        <v>109</v>
      </c>
      <c r="B53" s="3">
        <v>1</v>
      </c>
      <c r="C53" s="5">
        <v>54.99</v>
      </c>
      <c r="D53" s="4">
        <v>54.99</v>
      </c>
      <c r="E53" s="3" t="s">
        <v>110</v>
      </c>
      <c r="F53" s="2" t="s">
        <v>92</v>
      </c>
      <c r="G53" s="2" t="s">
        <v>84</v>
      </c>
      <c r="H53" s="2" t="s">
        <v>14</v>
      </c>
      <c r="I53" s="2" t="s">
        <v>78</v>
      </c>
      <c r="J53" s="6" t="str">
        <f>HYPERLINK("http://slimages.macys.com/is/image/MCY/12381395 ")</f>
        <v xml:space="preserve">http://slimages.macys.com/is/image/MCY/12381395 </v>
      </c>
    </row>
    <row r="54" spans="1:10" ht="53" x14ac:dyDescent="0.2">
      <c r="A54" s="2" t="s">
        <v>109</v>
      </c>
      <c r="B54" s="3">
        <v>1</v>
      </c>
      <c r="C54" s="5">
        <v>54.99</v>
      </c>
      <c r="D54" s="4">
        <v>54.99</v>
      </c>
      <c r="E54" s="3" t="s">
        <v>110</v>
      </c>
      <c r="F54" s="2" t="s">
        <v>92</v>
      </c>
      <c r="G54" s="2" t="s">
        <v>84</v>
      </c>
      <c r="H54" s="2" t="s">
        <v>14</v>
      </c>
      <c r="I54" s="2" t="s">
        <v>78</v>
      </c>
      <c r="J54" s="6" t="str">
        <f>HYPERLINK("http://slimages.macys.com/is/image/MCY/12381395 ")</f>
        <v xml:space="preserve">http://slimages.macys.com/is/image/MCY/12381395 </v>
      </c>
    </row>
    <row r="55" spans="1:10" ht="53" x14ac:dyDescent="0.2">
      <c r="A55" s="2" t="s">
        <v>109</v>
      </c>
      <c r="B55" s="3">
        <v>1</v>
      </c>
      <c r="C55" s="5">
        <v>54.99</v>
      </c>
      <c r="D55" s="4">
        <v>54.99</v>
      </c>
      <c r="E55" s="3" t="s">
        <v>110</v>
      </c>
      <c r="F55" s="2" t="s">
        <v>92</v>
      </c>
      <c r="G55" s="2" t="s">
        <v>84</v>
      </c>
      <c r="H55" s="2" t="s">
        <v>14</v>
      </c>
      <c r="I55" s="2" t="s">
        <v>78</v>
      </c>
      <c r="J55" s="6" t="str">
        <f>HYPERLINK("http://slimages.macys.com/is/image/MCY/12381395 ")</f>
        <v xml:space="preserve">http://slimages.macys.com/is/image/MCY/12381395 </v>
      </c>
    </row>
    <row r="56" spans="1:10" ht="66" x14ac:dyDescent="0.2">
      <c r="A56" s="2" t="s">
        <v>111</v>
      </c>
      <c r="B56" s="3">
        <v>1</v>
      </c>
      <c r="C56" s="5">
        <v>44.5</v>
      </c>
      <c r="D56" s="4">
        <v>44.5</v>
      </c>
      <c r="E56" s="3" t="s">
        <v>112</v>
      </c>
      <c r="F56" s="2" t="s">
        <v>113</v>
      </c>
      <c r="G56" s="2" t="s">
        <v>114</v>
      </c>
      <c r="H56" s="2" t="s">
        <v>14</v>
      </c>
      <c r="I56" s="2" t="s">
        <v>115</v>
      </c>
      <c r="J56" s="6" t="str">
        <f>HYPERLINK("http://slimages.macys.com/is/image/MCY/15711652 ")</f>
        <v xml:space="preserve">http://slimages.macys.com/is/image/MCY/15711652 </v>
      </c>
    </row>
    <row r="57" spans="1:10" ht="66" x14ac:dyDescent="0.2">
      <c r="A57" s="2" t="s">
        <v>116</v>
      </c>
      <c r="B57" s="3">
        <v>1</v>
      </c>
      <c r="C57" s="5">
        <v>39.5</v>
      </c>
      <c r="D57" s="4">
        <v>39.5</v>
      </c>
      <c r="E57" s="3">
        <v>322785698003</v>
      </c>
      <c r="F57" s="2" t="s">
        <v>12</v>
      </c>
      <c r="G57" s="2" t="s">
        <v>33</v>
      </c>
      <c r="H57" s="2"/>
      <c r="I57" s="2"/>
      <c r="J57" s="6" t="str">
        <f>HYPERLINK("http://slimages.macys.com/is/image/MCY/16699879 ")</f>
        <v xml:space="preserve">http://slimages.macys.com/is/image/MCY/16699879 </v>
      </c>
    </row>
    <row r="58" spans="1:10" ht="53" x14ac:dyDescent="0.2">
      <c r="A58" s="2" t="s">
        <v>117</v>
      </c>
      <c r="B58" s="3">
        <v>1</v>
      </c>
      <c r="C58" s="5">
        <v>31</v>
      </c>
      <c r="D58" s="4">
        <v>31</v>
      </c>
      <c r="E58" s="3" t="s">
        <v>118</v>
      </c>
      <c r="F58" s="2" t="s">
        <v>12</v>
      </c>
      <c r="G58" s="2" t="s">
        <v>13</v>
      </c>
      <c r="H58" s="2" t="s">
        <v>14</v>
      </c>
      <c r="I58" s="2" t="s">
        <v>119</v>
      </c>
      <c r="J58" s="6" t="str">
        <f>HYPERLINK("http://slimages.macys.com/is/image/MCY/11951588 ")</f>
        <v xml:space="preserve">http://slimages.macys.com/is/image/MCY/11951588 </v>
      </c>
    </row>
    <row r="59" spans="1:10" ht="53" x14ac:dyDescent="0.2">
      <c r="A59" s="2" t="s">
        <v>120</v>
      </c>
      <c r="B59" s="3">
        <v>1</v>
      </c>
      <c r="C59" s="5">
        <v>34.99</v>
      </c>
      <c r="D59" s="4">
        <v>34.99</v>
      </c>
      <c r="E59" s="3" t="s">
        <v>121</v>
      </c>
      <c r="F59" s="2" t="s">
        <v>122</v>
      </c>
      <c r="G59" s="2" t="s">
        <v>51</v>
      </c>
      <c r="H59" s="2" t="s">
        <v>14</v>
      </c>
      <c r="I59" s="2" t="s">
        <v>123</v>
      </c>
      <c r="J59" s="6" t="str">
        <f>HYPERLINK("http://slimages.macys.com/is/image/MCY/15653237 ")</f>
        <v xml:space="preserve">http://slimages.macys.com/is/image/MCY/15653237 </v>
      </c>
    </row>
    <row r="60" spans="1:10" ht="53" x14ac:dyDescent="0.2">
      <c r="A60" s="2" t="s">
        <v>124</v>
      </c>
      <c r="B60" s="3">
        <v>1</v>
      </c>
      <c r="C60" s="5">
        <v>39.99</v>
      </c>
      <c r="D60" s="4">
        <v>39.99</v>
      </c>
      <c r="E60" s="3" t="s">
        <v>125</v>
      </c>
      <c r="F60" s="2" t="s">
        <v>126</v>
      </c>
      <c r="G60" s="2" t="s">
        <v>127</v>
      </c>
      <c r="H60" s="2" t="s">
        <v>14</v>
      </c>
      <c r="I60" s="2" t="s">
        <v>128</v>
      </c>
      <c r="J60" s="6" t="str">
        <f>HYPERLINK("http://slimages.macys.com/is/image/MCY/16356363 ")</f>
        <v xml:space="preserve">http://slimages.macys.com/is/image/MCY/16356363 </v>
      </c>
    </row>
    <row r="61" spans="1:10" ht="53" x14ac:dyDescent="0.2">
      <c r="A61" s="2" t="s">
        <v>129</v>
      </c>
      <c r="B61" s="3">
        <v>1</v>
      </c>
      <c r="C61" s="5">
        <v>49.99</v>
      </c>
      <c r="D61" s="4">
        <v>49.99</v>
      </c>
      <c r="E61" s="3" t="s">
        <v>130</v>
      </c>
      <c r="F61" s="2" t="s">
        <v>131</v>
      </c>
      <c r="G61" s="2" t="s">
        <v>127</v>
      </c>
      <c r="H61" s="2"/>
      <c r="I61" s="2"/>
      <c r="J61" s="6" t="str">
        <f>HYPERLINK("http://slimages.macys.com/is/image/MCY/16613397 ")</f>
        <v xml:space="preserve">http://slimages.macys.com/is/image/MCY/16613397 </v>
      </c>
    </row>
    <row r="62" spans="1:10" ht="66" x14ac:dyDescent="0.2">
      <c r="A62" s="2" t="s">
        <v>132</v>
      </c>
      <c r="B62" s="3">
        <v>1</v>
      </c>
      <c r="C62" s="5">
        <v>59.5</v>
      </c>
      <c r="D62" s="4">
        <v>59.5</v>
      </c>
      <c r="E62" s="3">
        <v>322786384004</v>
      </c>
      <c r="F62" s="2" t="s">
        <v>12</v>
      </c>
      <c r="G62" s="2" t="s">
        <v>33</v>
      </c>
      <c r="H62" s="2" t="s">
        <v>133</v>
      </c>
      <c r="I62" s="2" t="s">
        <v>73</v>
      </c>
      <c r="J62" s="6" t="str">
        <f>HYPERLINK("http://images.bloomingdales.com/is/image/BLM/10817141 ")</f>
        <v xml:space="preserve">http://images.bloomingdales.com/is/image/BLM/10817141 </v>
      </c>
    </row>
    <row r="63" spans="1:10" ht="66" x14ac:dyDescent="0.2">
      <c r="A63" s="2" t="s">
        <v>134</v>
      </c>
      <c r="B63" s="3">
        <v>1</v>
      </c>
      <c r="C63" s="5">
        <v>44.99</v>
      </c>
      <c r="D63" s="4">
        <v>44.99</v>
      </c>
      <c r="E63" s="3" t="s">
        <v>135</v>
      </c>
      <c r="F63" s="2" t="s">
        <v>12</v>
      </c>
      <c r="G63" s="2" t="s">
        <v>136</v>
      </c>
      <c r="H63" s="2" t="s">
        <v>14</v>
      </c>
      <c r="I63" s="2" t="s">
        <v>137</v>
      </c>
      <c r="J63" s="6" t="str">
        <f>HYPERLINK("http://slimages.macys.com/is/image/MCY/16055480 ")</f>
        <v xml:space="preserve">http://slimages.macys.com/is/image/MCY/16055480 </v>
      </c>
    </row>
    <row r="64" spans="1:10" ht="66" x14ac:dyDescent="0.2">
      <c r="A64" s="2" t="s">
        <v>134</v>
      </c>
      <c r="B64" s="3">
        <v>1</v>
      </c>
      <c r="C64" s="5">
        <v>44.99</v>
      </c>
      <c r="D64" s="4">
        <v>44.99</v>
      </c>
      <c r="E64" s="3" t="s">
        <v>135</v>
      </c>
      <c r="F64" s="2" t="s">
        <v>12</v>
      </c>
      <c r="G64" s="2" t="s">
        <v>136</v>
      </c>
      <c r="H64" s="2" t="s">
        <v>14</v>
      </c>
      <c r="I64" s="2" t="s">
        <v>137</v>
      </c>
      <c r="J64" s="6" t="str">
        <f>HYPERLINK("http://slimages.macys.com/is/image/MCY/16055480 ")</f>
        <v xml:space="preserve">http://slimages.macys.com/is/image/MCY/16055480 </v>
      </c>
    </row>
    <row r="65" spans="1:10" ht="66" x14ac:dyDescent="0.2">
      <c r="A65" s="2" t="s">
        <v>134</v>
      </c>
      <c r="B65" s="3">
        <v>1</v>
      </c>
      <c r="C65" s="5">
        <v>44.99</v>
      </c>
      <c r="D65" s="4">
        <v>44.99</v>
      </c>
      <c r="E65" s="3" t="s">
        <v>135</v>
      </c>
      <c r="F65" s="2" t="s">
        <v>12</v>
      </c>
      <c r="G65" s="2" t="s">
        <v>136</v>
      </c>
      <c r="H65" s="2" t="s">
        <v>14</v>
      </c>
      <c r="I65" s="2" t="s">
        <v>137</v>
      </c>
      <c r="J65" s="6" t="str">
        <f>HYPERLINK("http://slimages.macys.com/is/image/MCY/16055480 ")</f>
        <v xml:space="preserve">http://slimages.macys.com/is/image/MCY/16055480 </v>
      </c>
    </row>
    <row r="66" spans="1:10" ht="66" x14ac:dyDescent="0.2">
      <c r="A66" s="2" t="s">
        <v>134</v>
      </c>
      <c r="B66" s="3">
        <v>1</v>
      </c>
      <c r="C66" s="5">
        <v>44.99</v>
      </c>
      <c r="D66" s="4">
        <v>44.99</v>
      </c>
      <c r="E66" s="3" t="s">
        <v>135</v>
      </c>
      <c r="F66" s="2" t="s">
        <v>12</v>
      </c>
      <c r="G66" s="2" t="s">
        <v>136</v>
      </c>
      <c r="H66" s="2" t="s">
        <v>14</v>
      </c>
      <c r="I66" s="2" t="s">
        <v>137</v>
      </c>
      <c r="J66" s="6" t="str">
        <f>HYPERLINK("http://slimages.macys.com/is/image/MCY/16055480 ")</f>
        <v xml:space="preserve">http://slimages.macys.com/is/image/MCY/16055480 </v>
      </c>
    </row>
    <row r="67" spans="1:10" ht="53" x14ac:dyDescent="0.2">
      <c r="A67" s="2" t="s">
        <v>138</v>
      </c>
      <c r="B67" s="3">
        <v>1</v>
      </c>
      <c r="C67" s="5">
        <v>31.6</v>
      </c>
      <c r="D67" s="4">
        <v>31.6</v>
      </c>
      <c r="E67" s="3" t="s">
        <v>139</v>
      </c>
      <c r="F67" s="2"/>
      <c r="G67" s="2" t="s">
        <v>140</v>
      </c>
      <c r="H67" s="2" t="s">
        <v>14</v>
      </c>
      <c r="I67" s="2" t="s">
        <v>96</v>
      </c>
      <c r="J67" s="6" t="str">
        <f>HYPERLINK("http://slimages.macys.com/is/image/MCY/14767382 ")</f>
        <v xml:space="preserve">http://slimages.macys.com/is/image/MCY/14767382 </v>
      </c>
    </row>
    <row r="68" spans="1:10" ht="66" x14ac:dyDescent="0.2">
      <c r="A68" s="2" t="s">
        <v>141</v>
      </c>
      <c r="B68" s="3">
        <v>1</v>
      </c>
      <c r="C68" s="5">
        <v>35</v>
      </c>
      <c r="D68" s="4">
        <v>35</v>
      </c>
      <c r="E68" s="3">
        <v>321703632038</v>
      </c>
      <c r="F68" s="2" t="s">
        <v>12</v>
      </c>
      <c r="G68" s="2" t="s">
        <v>33</v>
      </c>
      <c r="H68" s="2" t="s">
        <v>14</v>
      </c>
      <c r="I68" s="2" t="s">
        <v>142</v>
      </c>
      <c r="J68" s="6" t="str">
        <f>HYPERLINK("http://slimages.macys.com/is/image/MCY/16512125 ")</f>
        <v xml:space="preserve">http://slimages.macys.com/is/image/MCY/16512125 </v>
      </c>
    </row>
    <row r="69" spans="1:10" ht="66" x14ac:dyDescent="0.2">
      <c r="A69" s="2" t="s">
        <v>143</v>
      </c>
      <c r="B69" s="3">
        <v>1</v>
      </c>
      <c r="C69" s="5">
        <v>35</v>
      </c>
      <c r="D69" s="4">
        <v>35</v>
      </c>
      <c r="E69" s="3">
        <v>322760262003</v>
      </c>
      <c r="F69" s="2" t="s">
        <v>144</v>
      </c>
      <c r="G69" s="2" t="s">
        <v>33</v>
      </c>
      <c r="H69" s="2" t="s">
        <v>14</v>
      </c>
      <c r="I69" s="2" t="s">
        <v>73</v>
      </c>
      <c r="J69" s="6" t="str">
        <f>HYPERLINK("http://slimages.macys.com/is/image/MCY/15942013 ")</f>
        <v xml:space="preserve">http://slimages.macys.com/is/image/MCY/15942013 </v>
      </c>
    </row>
    <row r="70" spans="1:10" ht="66" x14ac:dyDescent="0.2">
      <c r="A70" s="2" t="s">
        <v>145</v>
      </c>
      <c r="B70" s="3">
        <v>1</v>
      </c>
      <c r="C70" s="5">
        <v>31.99</v>
      </c>
      <c r="D70" s="4">
        <v>31.99</v>
      </c>
      <c r="E70" s="3">
        <v>940373</v>
      </c>
      <c r="F70" s="2" t="s">
        <v>76</v>
      </c>
      <c r="G70" s="2" t="s">
        <v>77</v>
      </c>
      <c r="H70" s="2" t="s">
        <v>14</v>
      </c>
      <c r="I70" s="2" t="s">
        <v>146</v>
      </c>
      <c r="J70" s="6" t="str">
        <f>HYPERLINK("http://slimages.macys.com/is/image/MCY/10207878 ")</f>
        <v xml:space="preserve">http://slimages.macys.com/is/image/MCY/10207878 </v>
      </c>
    </row>
    <row r="71" spans="1:10" ht="66" x14ac:dyDescent="0.2">
      <c r="A71" s="2" t="s">
        <v>147</v>
      </c>
      <c r="B71" s="3">
        <v>1</v>
      </c>
      <c r="C71" s="5">
        <v>39.99</v>
      </c>
      <c r="D71" s="4">
        <v>39.99</v>
      </c>
      <c r="E71" s="3" t="s">
        <v>148</v>
      </c>
      <c r="F71" s="2" t="s">
        <v>32</v>
      </c>
      <c r="G71" s="2" t="s">
        <v>149</v>
      </c>
      <c r="H71" s="2" t="s">
        <v>14</v>
      </c>
      <c r="I71" s="2" t="s">
        <v>150</v>
      </c>
      <c r="J71" s="6" t="str">
        <f>HYPERLINK("http://slimages.macys.com/is/image/MCY/16499136 ")</f>
        <v xml:space="preserve">http://slimages.macys.com/is/image/MCY/16499136 </v>
      </c>
    </row>
    <row r="72" spans="1:10" ht="53" x14ac:dyDescent="0.2">
      <c r="A72" s="2" t="s">
        <v>151</v>
      </c>
      <c r="B72" s="3">
        <v>1</v>
      </c>
      <c r="C72" s="5">
        <v>24.99</v>
      </c>
      <c r="D72" s="4">
        <v>24.99</v>
      </c>
      <c r="E72" s="3" t="s">
        <v>152</v>
      </c>
      <c r="F72" s="2" t="s">
        <v>40</v>
      </c>
      <c r="G72" s="2" t="s">
        <v>153</v>
      </c>
      <c r="H72" s="2" t="s">
        <v>14</v>
      </c>
      <c r="I72" s="2" t="s">
        <v>154</v>
      </c>
      <c r="J72" s="6" t="str">
        <f>HYPERLINK("http://slimages.macys.com/is/image/MCY/14825253 ")</f>
        <v xml:space="preserve">http://slimages.macys.com/is/image/MCY/14825253 </v>
      </c>
    </row>
    <row r="73" spans="1:10" ht="66" x14ac:dyDescent="0.2">
      <c r="A73" s="2" t="s">
        <v>155</v>
      </c>
      <c r="B73" s="3">
        <v>1</v>
      </c>
      <c r="C73" s="5">
        <v>39</v>
      </c>
      <c r="D73" s="4">
        <v>39</v>
      </c>
      <c r="E73" s="3">
        <v>355644</v>
      </c>
      <c r="F73" s="2" t="s">
        <v>18</v>
      </c>
      <c r="G73" s="2" t="s">
        <v>156</v>
      </c>
      <c r="H73" s="2" t="s">
        <v>14</v>
      </c>
      <c r="I73" s="2" t="s">
        <v>157</v>
      </c>
      <c r="J73" s="6" t="str">
        <f>HYPERLINK("http://slimages.macys.com/is/image/MCY/12462875 ")</f>
        <v xml:space="preserve">http://slimages.macys.com/is/image/MCY/12462875 </v>
      </c>
    </row>
    <row r="74" spans="1:10" ht="53" x14ac:dyDescent="0.2">
      <c r="A74" s="2" t="s">
        <v>158</v>
      </c>
      <c r="B74" s="3">
        <v>1</v>
      </c>
      <c r="C74" s="5">
        <v>44.99</v>
      </c>
      <c r="D74" s="4">
        <v>44.99</v>
      </c>
      <c r="E74" s="3" t="s">
        <v>159</v>
      </c>
      <c r="F74" s="2" t="s">
        <v>69</v>
      </c>
      <c r="G74" s="2" t="s">
        <v>84</v>
      </c>
      <c r="H74" s="2"/>
      <c r="I74" s="2"/>
      <c r="J74" s="6" t="str">
        <f>HYPERLINK("http://slimages.macys.com/is/image/MCY/16374890 ")</f>
        <v xml:space="preserve">http://slimages.macys.com/is/image/MCY/16374890 </v>
      </c>
    </row>
    <row r="75" spans="1:10" ht="66" x14ac:dyDescent="0.2">
      <c r="A75" s="2" t="s">
        <v>160</v>
      </c>
      <c r="B75" s="3">
        <v>1</v>
      </c>
      <c r="C75" s="5">
        <v>52.99</v>
      </c>
      <c r="D75" s="4">
        <v>52.99</v>
      </c>
      <c r="E75" s="3" t="s">
        <v>161</v>
      </c>
      <c r="F75" s="2" t="s">
        <v>162</v>
      </c>
      <c r="G75" s="2" t="s">
        <v>163</v>
      </c>
      <c r="H75" s="2" t="s">
        <v>14</v>
      </c>
      <c r="I75" s="2" t="s">
        <v>164</v>
      </c>
      <c r="J75" s="6" t="str">
        <f>HYPERLINK("http://slimages.macys.com/is/image/MCY/15652256 ")</f>
        <v xml:space="preserve">http://slimages.macys.com/is/image/MCY/15652256 </v>
      </c>
    </row>
    <row r="76" spans="1:10" ht="53" x14ac:dyDescent="0.2">
      <c r="A76" s="2" t="s">
        <v>165</v>
      </c>
      <c r="B76" s="3">
        <v>1</v>
      </c>
      <c r="C76" s="5">
        <v>29.99</v>
      </c>
      <c r="D76" s="4">
        <v>29.99</v>
      </c>
      <c r="E76" s="3" t="s">
        <v>166</v>
      </c>
      <c r="F76" s="2" t="s">
        <v>26</v>
      </c>
      <c r="G76" s="2" t="s">
        <v>153</v>
      </c>
      <c r="H76" s="2" t="s">
        <v>14</v>
      </c>
      <c r="I76" s="2" t="s">
        <v>167</v>
      </c>
      <c r="J76" s="6" t="str">
        <f>HYPERLINK("http://slimages.macys.com/is/image/MCY/13941900 ")</f>
        <v xml:space="preserve">http://slimages.macys.com/is/image/MCY/13941900 </v>
      </c>
    </row>
    <row r="77" spans="1:10" ht="53" x14ac:dyDescent="0.2">
      <c r="A77" s="2" t="s">
        <v>165</v>
      </c>
      <c r="B77" s="3">
        <v>2</v>
      </c>
      <c r="C77" s="5">
        <v>29.99</v>
      </c>
      <c r="D77" s="4">
        <v>59.98</v>
      </c>
      <c r="E77" s="3" t="s">
        <v>166</v>
      </c>
      <c r="F77" s="2" t="s">
        <v>26</v>
      </c>
      <c r="G77" s="2" t="s">
        <v>153</v>
      </c>
      <c r="H77" s="2" t="s">
        <v>14</v>
      </c>
      <c r="I77" s="2" t="s">
        <v>167</v>
      </c>
      <c r="J77" s="6" t="str">
        <f>HYPERLINK("http://slimages.macys.com/is/image/MCY/13941900 ")</f>
        <v xml:space="preserve">http://slimages.macys.com/is/image/MCY/13941900 </v>
      </c>
    </row>
    <row r="78" spans="1:10" ht="53" x14ac:dyDescent="0.2">
      <c r="A78" s="2" t="s">
        <v>168</v>
      </c>
      <c r="B78" s="3">
        <v>1</v>
      </c>
      <c r="C78" s="5">
        <v>27.99</v>
      </c>
      <c r="D78" s="4">
        <v>27.99</v>
      </c>
      <c r="E78" s="3" t="s">
        <v>169</v>
      </c>
      <c r="F78" s="2" t="s">
        <v>12</v>
      </c>
      <c r="G78" s="2" t="s">
        <v>13</v>
      </c>
      <c r="H78" s="2" t="s">
        <v>14</v>
      </c>
      <c r="I78" s="2" t="s">
        <v>96</v>
      </c>
      <c r="J78" s="6" t="str">
        <f>HYPERLINK("http://slimages.macys.com/is/image/MCY/2996867 ")</f>
        <v xml:space="preserve">http://slimages.macys.com/is/image/MCY/2996867 </v>
      </c>
    </row>
    <row r="79" spans="1:10" ht="53" x14ac:dyDescent="0.2">
      <c r="A79" s="2" t="s">
        <v>168</v>
      </c>
      <c r="B79" s="3">
        <v>1</v>
      </c>
      <c r="C79" s="5">
        <v>27.99</v>
      </c>
      <c r="D79" s="4">
        <v>27.99</v>
      </c>
      <c r="E79" s="3" t="s">
        <v>169</v>
      </c>
      <c r="F79" s="2" t="s">
        <v>12</v>
      </c>
      <c r="G79" s="2" t="s">
        <v>13</v>
      </c>
      <c r="H79" s="2" t="s">
        <v>14</v>
      </c>
      <c r="I79" s="2" t="s">
        <v>96</v>
      </c>
      <c r="J79" s="6" t="str">
        <f>HYPERLINK("http://slimages.macys.com/is/image/MCY/2996867 ")</f>
        <v xml:space="preserve">http://slimages.macys.com/is/image/MCY/2996867 </v>
      </c>
    </row>
    <row r="80" spans="1:10" ht="53" x14ac:dyDescent="0.2">
      <c r="A80" s="2" t="s">
        <v>170</v>
      </c>
      <c r="B80" s="3">
        <v>2</v>
      </c>
      <c r="C80" s="5">
        <v>39.99</v>
      </c>
      <c r="D80" s="4">
        <v>79.98</v>
      </c>
      <c r="E80" s="3" t="s">
        <v>171</v>
      </c>
      <c r="F80" s="2" t="s">
        <v>172</v>
      </c>
      <c r="G80" s="2" t="s">
        <v>173</v>
      </c>
      <c r="H80" s="2" t="s">
        <v>14</v>
      </c>
      <c r="I80" s="2" t="s">
        <v>174</v>
      </c>
      <c r="J80" s="6" t="str">
        <f>HYPERLINK("http://slimages.macys.com/is/image/MCY/16310648 ")</f>
        <v xml:space="preserve">http://slimages.macys.com/is/image/MCY/16310648 </v>
      </c>
    </row>
    <row r="81" spans="1:10" ht="53" x14ac:dyDescent="0.2">
      <c r="A81" s="2" t="s">
        <v>170</v>
      </c>
      <c r="B81" s="3">
        <v>1</v>
      </c>
      <c r="C81" s="5">
        <v>39.99</v>
      </c>
      <c r="D81" s="4">
        <v>39.99</v>
      </c>
      <c r="E81" s="3" t="s">
        <v>171</v>
      </c>
      <c r="F81" s="2" t="s">
        <v>172</v>
      </c>
      <c r="G81" s="2" t="s">
        <v>173</v>
      </c>
      <c r="H81" s="2" t="s">
        <v>14</v>
      </c>
      <c r="I81" s="2" t="s">
        <v>174</v>
      </c>
      <c r="J81" s="6" t="str">
        <f>HYPERLINK("http://slimages.macys.com/is/image/MCY/16310648 ")</f>
        <v xml:space="preserve">http://slimages.macys.com/is/image/MCY/16310648 </v>
      </c>
    </row>
    <row r="82" spans="1:10" ht="105" x14ac:dyDescent="0.2">
      <c r="A82" s="2" t="s">
        <v>175</v>
      </c>
      <c r="B82" s="3">
        <v>1</v>
      </c>
      <c r="C82" s="5">
        <v>46</v>
      </c>
      <c r="D82" s="4">
        <v>46</v>
      </c>
      <c r="E82" s="3" t="s">
        <v>176</v>
      </c>
      <c r="F82" s="2" t="s">
        <v>177</v>
      </c>
      <c r="G82" s="2" t="s">
        <v>178</v>
      </c>
      <c r="H82" s="2" t="s">
        <v>14</v>
      </c>
      <c r="I82" s="2" t="s">
        <v>179</v>
      </c>
      <c r="J82" s="6" t="str">
        <f>HYPERLINK("http://slimages.macys.com/is/image/MCY/14531864 ")</f>
        <v xml:space="preserve">http://slimages.macys.com/is/image/MCY/14531864 </v>
      </c>
    </row>
    <row r="83" spans="1:10" ht="53" x14ac:dyDescent="0.2">
      <c r="A83" s="2" t="s">
        <v>180</v>
      </c>
      <c r="B83" s="3">
        <v>1</v>
      </c>
      <c r="C83" s="5">
        <v>30</v>
      </c>
      <c r="D83" s="4">
        <v>30</v>
      </c>
      <c r="E83" s="3">
        <v>1341125</v>
      </c>
      <c r="F83" s="2" t="s">
        <v>32</v>
      </c>
      <c r="G83" s="2" t="s">
        <v>181</v>
      </c>
      <c r="H83" s="2" t="s">
        <v>14</v>
      </c>
      <c r="I83" s="2" t="s">
        <v>78</v>
      </c>
      <c r="J83" s="6" t="str">
        <f>HYPERLINK("http://slimages.macys.com/is/image/MCY/11949814 ")</f>
        <v xml:space="preserve">http://slimages.macys.com/is/image/MCY/11949814 </v>
      </c>
    </row>
    <row r="84" spans="1:10" ht="53" x14ac:dyDescent="0.2">
      <c r="A84" s="2" t="s">
        <v>182</v>
      </c>
      <c r="B84" s="3">
        <v>1</v>
      </c>
      <c r="C84" s="5">
        <v>39.99</v>
      </c>
      <c r="D84" s="4">
        <v>39.99</v>
      </c>
      <c r="E84" s="3" t="s">
        <v>183</v>
      </c>
      <c r="F84" s="2" t="s">
        <v>184</v>
      </c>
      <c r="G84" s="2" t="s">
        <v>127</v>
      </c>
      <c r="H84" s="2"/>
      <c r="I84" s="2"/>
      <c r="J84" s="6" t="str">
        <f>HYPERLINK("http://slimages.macys.com/is/image/MCY/16613498 ")</f>
        <v xml:space="preserve">http://slimages.macys.com/is/image/MCY/16613498 </v>
      </c>
    </row>
    <row r="85" spans="1:10" ht="66" x14ac:dyDescent="0.2">
      <c r="A85" s="2" t="s">
        <v>185</v>
      </c>
      <c r="B85" s="3">
        <v>1</v>
      </c>
      <c r="C85" s="5">
        <v>39.99</v>
      </c>
      <c r="D85" s="4">
        <v>39.99</v>
      </c>
      <c r="E85" s="3" t="s">
        <v>186</v>
      </c>
      <c r="F85" s="2" t="s">
        <v>126</v>
      </c>
      <c r="G85" s="2" t="s">
        <v>84</v>
      </c>
      <c r="H85" s="2" t="s">
        <v>14</v>
      </c>
      <c r="I85" s="2" t="s">
        <v>164</v>
      </c>
      <c r="J85" s="6" t="str">
        <f>HYPERLINK("http://slimages.macys.com/is/image/MCY/16374962 ")</f>
        <v xml:space="preserve">http://slimages.macys.com/is/image/MCY/16374962 </v>
      </c>
    </row>
    <row r="86" spans="1:10" ht="66" x14ac:dyDescent="0.2">
      <c r="A86" s="2" t="s">
        <v>185</v>
      </c>
      <c r="B86" s="3">
        <v>1</v>
      </c>
      <c r="C86" s="5">
        <v>39.99</v>
      </c>
      <c r="D86" s="4">
        <v>39.99</v>
      </c>
      <c r="E86" s="3" t="s">
        <v>186</v>
      </c>
      <c r="F86" s="2" t="s">
        <v>126</v>
      </c>
      <c r="G86" s="2" t="s">
        <v>84</v>
      </c>
      <c r="H86" s="2" t="s">
        <v>14</v>
      </c>
      <c r="I86" s="2" t="s">
        <v>164</v>
      </c>
      <c r="J86" s="6" t="str">
        <f>HYPERLINK("http://slimages.macys.com/is/image/MCY/16374962 ")</f>
        <v xml:space="preserve">http://slimages.macys.com/is/image/MCY/16374962 </v>
      </c>
    </row>
    <row r="87" spans="1:10" ht="53" x14ac:dyDescent="0.2">
      <c r="A87" s="2" t="s">
        <v>187</v>
      </c>
      <c r="B87" s="3">
        <v>1</v>
      </c>
      <c r="C87" s="5">
        <v>29.99</v>
      </c>
      <c r="D87" s="4">
        <v>29.99</v>
      </c>
      <c r="E87" s="3" t="s">
        <v>188</v>
      </c>
      <c r="F87" s="2" t="s">
        <v>162</v>
      </c>
      <c r="G87" s="2" t="s">
        <v>153</v>
      </c>
      <c r="H87" s="2" t="s">
        <v>14</v>
      </c>
      <c r="I87" s="2" t="s">
        <v>154</v>
      </c>
      <c r="J87" s="6" t="str">
        <f>HYPERLINK("http://slimages.macys.com/is/image/MCY/9026430 ")</f>
        <v xml:space="preserve">http://slimages.macys.com/is/image/MCY/9026430 </v>
      </c>
    </row>
    <row r="88" spans="1:10" ht="144" x14ac:dyDescent="0.2">
      <c r="A88" s="2" t="s">
        <v>189</v>
      </c>
      <c r="B88" s="3">
        <v>1</v>
      </c>
      <c r="C88" s="5">
        <v>35</v>
      </c>
      <c r="D88" s="4">
        <v>35</v>
      </c>
      <c r="E88" s="3" t="s">
        <v>190</v>
      </c>
      <c r="F88" s="2" t="s">
        <v>32</v>
      </c>
      <c r="G88" s="2" t="s">
        <v>191</v>
      </c>
      <c r="H88" s="2" t="s">
        <v>14</v>
      </c>
      <c r="I88" s="2" t="s">
        <v>192</v>
      </c>
      <c r="J88" s="6" t="str">
        <f>HYPERLINK("http://slimages.macys.com/is/image/MCY/16666431 ")</f>
        <v xml:space="preserve">http://slimages.macys.com/is/image/MCY/16666431 </v>
      </c>
    </row>
    <row r="89" spans="1:10" ht="53" x14ac:dyDescent="0.2">
      <c r="A89" s="2" t="s">
        <v>193</v>
      </c>
      <c r="B89" s="3">
        <v>1</v>
      </c>
      <c r="C89" s="5">
        <v>30</v>
      </c>
      <c r="D89" s="4">
        <v>30</v>
      </c>
      <c r="E89" s="3" t="s">
        <v>194</v>
      </c>
      <c r="F89" s="2" t="s">
        <v>40</v>
      </c>
      <c r="G89" s="2" t="s">
        <v>191</v>
      </c>
      <c r="H89" s="2" t="s">
        <v>14</v>
      </c>
      <c r="I89" s="2" t="s">
        <v>195</v>
      </c>
      <c r="J89" s="6" t="str">
        <f>HYPERLINK("http://slimages.macys.com/is/image/MCY/11722017 ")</f>
        <v xml:space="preserve">http://slimages.macys.com/is/image/MCY/11722017 </v>
      </c>
    </row>
    <row r="90" spans="1:10" ht="79" x14ac:dyDescent="0.2">
      <c r="A90" s="2" t="s">
        <v>196</v>
      </c>
      <c r="B90" s="3">
        <v>1</v>
      </c>
      <c r="C90" s="5">
        <v>24.99</v>
      </c>
      <c r="D90" s="4">
        <v>24.99</v>
      </c>
      <c r="E90" s="3" t="s">
        <v>197</v>
      </c>
      <c r="F90" s="2" t="s">
        <v>32</v>
      </c>
      <c r="G90" s="2" t="s">
        <v>198</v>
      </c>
      <c r="H90" s="2" t="s">
        <v>14</v>
      </c>
      <c r="I90" s="2" t="s">
        <v>199</v>
      </c>
      <c r="J90" s="6" t="str">
        <f>HYPERLINK("http://slimages.macys.com/is/image/MCY/9026286 ")</f>
        <v xml:space="preserve">http://slimages.macys.com/is/image/MCY/9026286 </v>
      </c>
    </row>
    <row r="91" spans="1:10" ht="144" x14ac:dyDescent="0.2">
      <c r="A91" s="2" t="s">
        <v>189</v>
      </c>
      <c r="B91" s="3">
        <v>1</v>
      </c>
      <c r="C91" s="5">
        <v>35</v>
      </c>
      <c r="D91" s="4">
        <v>35</v>
      </c>
      <c r="E91" s="3" t="s">
        <v>190</v>
      </c>
      <c r="F91" s="2" t="s">
        <v>32</v>
      </c>
      <c r="G91" s="2" t="s">
        <v>191</v>
      </c>
      <c r="H91" s="2" t="s">
        <v>14</v>
      </c>
      <c r="I91" s="2" t="s">
        <v>192</v>
      </c>
      <c r="J91" s="6" t="str">
        <f>HYPERLINK("http://slimages.macys.com/is/image/MCY/16666431 ")</f>
        <v xml:space="preserve">http://slimages.macys.com/is/image/MCY/16666431 </v>
      </c>
    </row>
    <row r="92" spans="1:10" ht="53" x14ac:dyDescent="0.2">
      <c r="A92" s="2" t="s">
        <v>193</v>
      </c>
      <c r="B92" s="3">
        <v>1</v>
      </c>
      <c r="C92" s="5">
        <v>30</v>
      </c>
      <c r="D92" s="4">
        <v>30</v>
      </c>
      <c r="E92" s="3" t="s">
        <v>194</v>
      </c>
      <c r="F92" s="2" t="s">
        <v>40</v>
      </c>
      <c r="G92" s="2" t="s">
        <v>191</v>
      </c>
      <c r="H92" s="2" t="s">
        <v>14</v>
      </c>
      <c r="I92" s="2" t="s">
        <v>195</v>
      </c>
      <c r="J92" s="6" t="str">
        <f>HYPERLINK("http://slimages.macys.com/is/image/MCY/11722017 ")</f>
        <v xml:space="preserve">http://slimages.macys.com/is/image/MCY/11722017 </v>
      </c>
    </row>
    <row r="93" spans="1:10" ht="53" x14ac:dyDescent="0.2">
      <c r="A93" s="2" t="s">
        <v>200</v>
      </c>
      <c r="B93" s="3">
        <v>1</v>
      </c>
      <c r="C93" s="5">
        <v>36</v>
      </c>
      <c r="D93" s="4">
        <v>36</v>
      </c>
      <c r="E93" s="3" t="s">
        <v>201</v>
      </c>
      <c r="F93" s="2" t="s">
        <v>113</v>
      </c>
      <c r="G93" s="2" t="s">
        <v>202</v>
      </c>
      <c r="H93" s="2" t="s">
        <v>14</v>
      </c>
      <c r="I93" s="2" t="s">
        <v>73</v>
      </c>
      <c r="J93" s="6" t="str">
        <f>HYPERLINK("http://slimages.macys.com/is/image/MCY/10238108 ")</f>
        <v xml:space="preserve">http://slimages.macys.com/is/image/MCY/10238108 </v>
      </c>
    </row>
    <row r="94" spans="1:10" ht="53" x14ac:dyDescent="0.2">
      <c r="A94" s="2" t="s">
        <v>203</v>
      </c>
      <c r="B94" s="3">
        <v>1</v>
      </c>
      <c r="C94" s="5">
        <v>39.99</v>
      </c>
      <c r="D94" s="4">
        <v>39.99</v>
      </c>
      <c r="E94" s="3" t="s">
        <v>204</v>
      </c>
      <c r="F94" s="2" t="s">
        <v>205</v>
      </c>
      <c r="G94" s="2" t="s">
        <v>206</v>
      </c>
      <c r="H94" s="2" t="s">
        <v>14</v>
      </c>
      <c r="I94" s="2" t="s">
        <v>207</v>
      </c>
      <c r="J94" s="6" t="str">
        <f>HYPERLINK("http://slimages.macys.com/is/image/MCY/15663231 ")</f>
        <v xml:space="preserve">http://slimages.macys.com/is/image/MCY/15663231 </v>
      </c>
    </row>
    <row r="95" spans="1:10" ht="53" x14ac:dyDescent="0.2">
      <c r="A95" s="2" t="s">
        <v>203</v>
      </c>
      <c r="B95" s="3">
        <v>2</v>
      </c>
      <c r="C95" s="5">
        <v>39.99</v>
      </c>
      <c r="D95" s="4">
        <v>79.98</v>
      </c>
      <c r="E95" s="3" t="s">
        <v>204</v>
      </c>
      <c r="F95" s="2" t="s">
        <v>205</v>
      </c>
      <c r="G95" s="2" t="s">
        <v>206</v>
      </c>
      <c r="H95" s="2" t="s">
        <v>14</v>
      </c>
      <c r="I95" s="2" t="s">
        <v>207</v>
      </c>
      <c r="J95" s="6" t="str">
        <f>HYPERLINK("http://slimages.macys.com/is/image/MCY/15663231 ")</f>
        <v xml:space="preserve">http://slimages.macys.com/is/image/MCY/15663231 </v>
      </c>
    </row>
    <row r="96" spans="1:10" ht="53" x14ac:dyDescent="0.2">
      <c r="A96" s="2" t="s">
        <v>208</v>
      </c>
      <c r="B96" s="3">
        <v>1</v>
      </c>
      <c r="C96" s="5">
        <v>30</v>
      </c>
      <c r="D96" s="4">
        <v>30</v>
      </c>
      <c r="E96" s="3">
        <v>1342065</v>
      </c>
      <c r="F96" s="2" t="s">
        <v>40</v>
      </c>
      <c r="G96" s="2" t="s">
        <v>181</v>
      </c>
      <c r="H96" s="2" t="s">
        <v>14</v>
      </c>
      <c r="I96" s="2" t="s">
        <v>78</v>
      </c>
      <c r="J96" s="6" t="str">
        <f>HYPERLINK("http://slimages.macys.com/is/image/MCY/14574524 ")</f>
        <v xml:space="preserve">http://slimages.macys.com/is/image/MCY/14574524 </v>
      </c>
    </row>
    <row r="97" spans="1:10" ht="144" x14ac:dyDescent="0.2">
      <c r="A97" s="2" t="s">
        <v>189</v>
      </c>
      <c r="B97" s="3">
        <v>1</v>
      </c>
      <c r="C97" s="5">
        <v>35</v>
      </c>
      <c r="D97" s="4">
        <v>35</v>
      </c>
      <c r="E97" s="3" t="s">
        <v>190</v>
      </c>
      <c r="F97" s="2" t="s">
        <v>32</v>
      </c>
      <c r="G97" s="2" t="s">
        <v>191</v>
      </c>
      <c r="H97" s="2" t="s">
        <v>14</v>
      </c>
      <c r="I97" s="2" t="s">
        <v>192</v>
      </c>
      <c r="J97" s="6" t="str">
        <f>HYPERLINK("http://slimages.macys.com/is/image/MCY/16666431 ")</f>
        <v xml:space="preserve">http://slimages.macys.com/is/image/MCY/16666431 </v>
      </c>
    </row>
    <row r="98" spans="1:10" ht="53" x14ac:dyDescent="0.2">
      <c r="A98" s="2" t="s">
        <v>203</v>
      </c>
      <c r="B98" s="3">
        <v>1</v>
      </c>
      <c r="C98" s="5">
        <v>39.99</v>
      </c>
      <c r="D98" s="4">
        <v>39.99</v>
      </c>
      <c r="E98" s="3" t="s">
        <v>204</v>
      </c>
      <c r="F98" s="2" t="s">
        <v>205</v>
      </c>
      <c r="G98" s="2" t="s">
        <v>206</v>
      </c>
      <c r="H98" s="2" t="s">
        <v>14</v>
      </c>
      <c r="I98" s="2" t="s">
        <v>207</v>
      </c>
      <c r="J98" s="6" t="str">
        <f>HYPERLINK("http://slimages.macys.com/is/image/MCY/15663231 ")</f>
        <v xml:space="preserve">http://slimages.macys.com/is/image/MCY/15663231 </v>
      </c>
    </row>
    <row r="99" spans="1:10" ht="53" x14ac:dyDescent="0.2">
      <c r="A99" s="2" t="s">
        <v>203</v>
      </c>
      <c r="B99" s="3">
        <v>1</v>
      </c>
      <c r="C99" s="5">
        <v>39.99</v>
      </c>
      <c r="D99" s="4">
        <v>39.99</v>
      </c>
      <c r="E99" s="3" t="s">
        <v>204</v>
      </c>
      <c r="F99" s="2" t="s">
        <v>205</v>
      </c>
      <c r="G99" s="2" t="s">
        <v>206</v>
      </c>
      <c r="H99" s="2" t="s">
        <v>14</v>
      </c>
      <c r="I99" s="2" t="s">
        <v>207</v>
      </c>
      <c r="J99" s="6" t="str">
        <f>HYPERLINK("http://slimages.macys.com/is/image/MCY/15663231 ")</f>
        <v xml:space="preserve">http://slimages.macys.com/is/image/MCY/15663231 </v>
      </c>
    </row>
    <row r="100" spans="1:10" ht="53" x14ac:dyDescent="0.2">
      <c r="A100" s="2" t="s">
        <v>209</v>
      </c>
      <c r="B100" s="3">
        <v>2</v>
      </c>
      <c r="C100" s="5">
        <v>22.99</v>
      </c>
      <c r="D100" s="4">
        <v>45.98</v>
      </c>
      <c r="E100" s="3" t="s">
        <v>210</v>
      </c>
      <c r="F100" s="2" t="s">
        <v>12</v>
      </c>
      <c r="G100" s="2" t="s">
        <v>211</v>
      </c>
      <c r="H100" s="2" t="s">
        <v>14</v>
      </c>
      <c r="I100" s="2" t="s">
        <v>212</v>
      </c>
      <c r="J100" s="6" t="str">
        <f>HYPERLINK("http://slimages.macys.com/is/image/MCY/13924089 ")</f>
        <v xml:space="preserve">http://slimages.macys.com/is/image/MCY/13924089 </v>
      </c>
    </row>
    <row r="101" spans="1:10" ht="53" x14ac:dyDescent="0.2">
      <c r="A101" s="2" t="s">
        <v>213</v>
      </c>
      <c r="B101" s="3">
        <v>1</v>
      </c>
      <c r="C101" s="5">
        <v>28.99</v>
      </c>
      <c r="D101" s="4">
        <v>28.99</v>
      </c>
      <c r="E101" s="3">
        <v>74119505070</v>
      </c>
      <c r="F101" s="2" t="s">
        <v>144</v>
      </c>
      <c r="G101" s="2" t="s">
        <v>214</v>
      </c>
      <c r="H101" s="2" t="s">
        <v>14</v>
      </c>
      <c r="I101" s="2" t="s">
        <v>96</v>
      </c>
      <c r="J101" s="6" t="str">
        <f>HYPERLINK("http://slimages.macys.com/is/image/MCY/15654252 ")</f>
        <v xml:space="preserve">http://slimages.macys.com/is/image/MCY/15654252 </v>
      </c>
    </row>
    <row r="102" spans="1:10" ht="53" x14ac:dyDescent="0.2">
      <c r="A102" s="2" t="s">
        <v>215</v>
      </c>
      <c r="B102" s="3">
        <v>1</v>
      </c>
      <c r="C102" s="5">
        <v>24.99</v>
      </c>
      <c r="D102" s="4">
        <v>24.99</v>
      </c>
      <c r="E102" s="3" t="s">
        <v>216</v>
      </c>
      <c r="F102" s="2" t="s">
        <v>162</v>
      </c>
      <c r="G102" s="2" t="s">
        <v>153</v>
      </c>
      <c r="H102" s="2" t="s">
        <v>14</v>
      </c>
      <c r="I102" s="2" t="s">
        <v>96</v>
      </c>
      <c r="J102" s="6" t="str">
        <f>HYPERLINK("http://slimages.macys.com/is/image/MCY/1699727 ")</f>
        <v xml:space="preserve">http://slimages.macys.com/is/image/MCY/1699727 </v>
      </c>
    </row>
    <row r="103" spans="1:10" ht="53" x14ac:dyDescent="0.2">
      <c r="A103" s="2" t="s">
        <v>217</v>
      </c>
      <c r="B103" s="3">
        <v>1</v>
      </c>
      <c r="C103" s="5">
        <v>22.5</v>
      </c>
      <c r="D103" s="4">
        <v>22.5</v>
      </c>
      <c r="E103" s="3" t="s">
        <v>218</v>
      </c>
      <c r="F103" s="2" t="s">
        <v>102</v>
      </c>
      <c r="G103" s="2" t="s">
        <v>211</v>
      </c>
      <c r="H103" s="2" t="s">
        <v>14</v>
      </c>
      <c r="I103" s="2" t="s">
        <v>96</v>
      </c>
      <c r="J103" s="6" t="str">
        <f>HYPERLINK("http://slimages.macys.com/is/image/MCY/13303246 ")</f>
        <v xml:space="preserve">http://slimages.macys.com/is/image/MCY/13303246 </v>
      </c>
    </row>
    <row r="104" spans="1:10" ht="53" x14ac:dyDescent="0.2">
      <c r="A104" s="2" t="s">
        <v>217</v>
      </c>
      <c r="B104" s="3">
        <v>2</v>
      </c>
      <c r="C104" s="5">
        <v>22.5</v>
      </c>
      <c r="D104" s="4">
        <v>45</v>
      </c>
      <c r="E104" s="3" t="s">
        <v>218</v>
      </c>
      <c r="F104" s="2" t="s">
        <v>102</v>
      </c>
      <c r="G104" s="2" t="s">
        <v>211</v>
      </c>
      <c r="H104" s="2" t="s">
        <v>14</v>
      </c>
      <c r="I104" s="2" t="s">
        <v>96</v>
      </c>
      <c r="J104" s="6" t="str">
        <f>HYPERLINK("http://slimages.macys.com/is/image/MCY/13303246 ")</f>
        <v xml:space="preserve">http://slimages.macys.com/is/image/MCY/13303246 </v>
      </c>
    </row>
    <row r="105" spans="1:10" ht="53" x14ac:dyDescent="0.2">
      <c r="A105" s="2" t="s">
        <v>217</v>
      </c>
      <c r="B105" s="3">
        <v>1</v>
      </c>
      <c r="C105" s="5">
        <v>22.5</v>
      </c>
      <c r="D105" s="4">
        <v>22.5</v>
      </c>
      <c r="E105" s="3" t="s">
        <v>218</v>
      </c>
      <c r="F105" s="2" t="s">
        <v>102</v>
      </c>
      <c r="G105" s="2" t="s">
        <v>211</v>
      </c>
      <c r="H105" s="2" t="s">
        <v>14</v>
      </c>
      <c r="I105" s="2" t="s">
        <v>96</v>
      </c>
      <c r="J105" s="6" t="str">
        <f>HYPERLINK("http://slimages.macys.com/is/image/MCY/13303246 ")</f>
        <v xml:space="preserve">http://slimages.macys.com/is/image/MCY/13303246 </v>
      </c>
    </row>
    <row r="106" spans="1:10" ht="53" x14ac:dyDescent="0.2">
      <c r="A106" s="2" t="s">
        <v>219</v>
      </c>
      <c r="B106" s="3">
        <v>1</v>
      </c>
      <c r="C106" s="5">
        <v>23.87</v>
      </c>
      <c r="D106" s="4">
        <v>23.87</v>
      </c>
      <c r="E106" s="3" t="s">
        <v>220</v>
      </c>
      <c r="F106" s="2"/>
      <c r="G106" s="2" t="s">
        <v>221</v>
      </c>
      <c r="H106" s="2" t="s">
        <v>14</v>
      </c>
      <c r="I106" s="2" t="s">
        <v>115</v>
      </c>
      <c r="J106" s="6" t="str">
        <f>HYPERLINK("http://slimages.macys.com/is/image/MCY/15914762 ")</f>
        <v xml:space="preserve">http://slimages.macys.com/is/image/MCY/15914762 </v>
      </c>
    </row>
    <row r="107" spans="1:10" ht="53" x14ac:dyDescent="0.2">
      <c r="A107" s="2" t="s">
        <v>222</v>
      </c>
      <c r="B107" s="3">
        <v>1</v>
      </c>
      <c r="C107" s="5">
        <v>23.87</v>
      </c>
      <c r="D107" s="4">
        <v>23.87</v>
      </c>
      <c r="E107" s="3" t="s">
        <v>223</v>
      </c>
      <c r="F107" s="2" t="s">
        <v>224</v>
      </c>
      <c r="G107" s="2" t="s">
        <v>221</v>
      </c>
      <c r="H107" s="2" t="s">
        <v>14</v>
      </c>
      <c r="I107" s="2" t="s">
        <v>115</v>
      </c>
      <c r="J107" s="6" t="str">
        <f>HYPERLINK("http://slimages.macys.com/is/image/MCY/16420518 ")</f>
        <v xml:space="preserve">http://slimages.macys.com/is/image/MCY/16420518 </v>
      </c>
    </row>
    <row r="108" spans="1:10" ht="53" x14ac:dyDescent="0.2">
      <c r="A108" s="2" t="s">
        <v>225</v>
      </c>
      <c r="B108" s="3">
        <v>1</v>
      </c>
      <c r="C108" s="5">
        <v>25.05</v>
      </c>
      <c r="D108" s="4">
        <v>25.05</v>
      </c>
      <c r="E108" s="3">
        <v>18333418</v>
      </c>
      <c r="F108" s="2"/>
      <c r="G108" s="2" t="s">
        <v>226</v>
      </c>
      <c r="H108" s="2" t="s">
        <v>14</v>
      </c>
      <c r="I108" s="2" t="s">
        <v>115</v>
      </c>
      <c r="J108" s="6" t="str">
        <f>HYPERLINK("http://slimages.macys.com/is/image/MCY/14888878 ")</f>
        <v xml:space="preserve">http://slimages.macys.com/is/image/MCY/14888878 </v>
      </c>
    </row>
    <row r="109" spans="1:10" ht="53" x14ac:dyDescent="0.2">
      <c r="A109" s="2" t="s">
        <v>227</v>
      </c>
      <c r="B109" s="3">
        <v>4</v>
      </c>
      <c r="C109" s="5">
        <v>25</v>
      </c>
      <c r="D109" s="4">
        <v>100</v>
      </c>
      <c r="E109" s="3" t="s">
        <v>228</v>
      </c>
      <c r="F109" s="2" t="s">
        <v>55</v>
      </c>
      <c r="G109" s="2" t="s">
        <v>211</v>
      </c>
      <c r="H109" s="2" t="s">
        <v>14</v>
      </c>
      <c r="I109" s="2" t="s">
        <v>78</v>
      </c>
      <c r="J109" s="6" t="str">
        <f>HYPERLINK("http://slimages.macys.com/is/image/MCY/8708172 ")</f>
        <v xml:space="preserve">http://slimages.macys.com/is/image/MCY/8708172 </v>
      </c>
    </row>
    <row r="110" spans="1:10" ht="53" x14ac:dyDescent="0.2">
      <c r="A110" s="2" t="s">
        <v>227</v>
      </c>
      <c r="B110" s="3">
        <v>2</v>
      </c>
      <c r="C110" s="5">
        <v>25</v>
      </c>
      <c r="D110" s="4">
        <v>50</v>
      </c>
      <c r="E110" s="3" t="s">
        <v>228</v>
      </c>
      <c r="F110" s="2" t="s">
        <v>184</v>
      </c>
      <c r="G110" s="2" t="s">
        <v>211</v>
      </c>
      <c r="H110" s="2" t="s">
        <v>14</v>
      </c>
      <c r="I110" s="2" t="s">
        <v>78</v>
      </c>
      <c r="J110" s="6" t="str">
        <f>HYPERLINK("http://slimages.macys.com/is/image/MCY/8708172 ")</f>
        <v xml:space="preserve">http://slimages.macys.com/is/image/MCY/8708172 </v>
      </c>
    </row>
    <row r="111" spans="1:10" ht="53" x14ac:dyDescent="0.2">
      <c r="A111" s="2" t="s">
        <v>227</v>
      </c>
      <c r="B111" s="3">
        <v>1</v>
      </c>
      <c r="C111" s="5">
        <v>25</v>
      </c>
      <c r="D111" s="4">
        <v>25</v>
      </c>
      <c r="E111" s="3" t="s">
        <v>228</v>
      </c>
      <c r="F111" s="2" t="s">
        <v>184</v>
      </c>
      <c r="G111" s="2" t="s">
        <v>211</v>
      </c>
      <c r="H111" s="2" t="s">
        <v>14</v>
      </c>
      <c r="I111" s="2" t="s">
        <v>78</v>
      </c>
      <c r="J111" s="6" t="str">
        <f>HYPERLINK("http://slimages.macys.com/is/image/MCY/8708172 ")</f>
        <v xml:space="preserve">http://slimages.macys.com/is/image/MCY/8708172 </v>
      </c>
    </row>
    <row r="112" spans="1:10" ht="53" x14ac:dyDescent="0.2">
      <c r="A112" s="2" t="s">
        <v>229</v>
      </c>
      <c r="B112" s="3">
        <v>2</v>
      </c>
      <c r="C112" s="5">
        <v>22.5</v>
      </c>
      <c r="D112" s="4">
        <v>45</v>
      </c>
      <c r="E112" s="3" t="s">
        <v>230</v>
      </c>
      <c r="F112" s="2" t="s">
        <v>205</v>
      </c>
      <c r="G112" s="2" t="s">
        <v>211</v>
      </c>
      <c r="H112" s="2" t="s">
        <v>14</v>
      </c>
      <c r="I112" s="2" t="s">
        <v>78</v>
      </c>
      <c r="J112" s="6" t="str">
        <f>HYPERLINK("http://slimages.macys.com/is/image/MCY/12954543 ")</f>
        <v xml:space="preserve">http://slimages.macys.com/is/image/MCY/12954543 </v>
      </c>
    </row>
    <row r="113" spans="1:10" ht="53" x14ac:dyDescent="0.2">
      <c r="A113" s="2" t="s">
        <v>229</v>
      </c>
      <c r="B113" s="3">
        <v>1</v>
      </c>
      <c r="C113" s="5">
        <v>22.5</v>
      </c>
      <c r="D113" s="4">
        <v>22.5</v>
      </c>
      <c r="E113" s="3" t="s">
        <v>230</v>
      </c>
      <c r="F113" s="2" t="s">
        <v>205</v>
      </c>
      <c r="G113" s="2" t="s">
        <v>211</v>
      </c>
      <c r="H113" s="2" t="s">
        <v>14</v>
      </c>
      <c r="I113" s="2" t="s">
        <v>78</v>
      </c>
      <c r="J113" s="6" t="str">
        <f>HYPERLINK("http://slimages.macys.com/is/image/MCY/12954543 ")</f>
        <v xml:space="preserve">http://slimages.macys.com/is/image/MCY/12954543 </v>
      </c>
    </row>
    <row r="114" spans="1:10" ht="53" x14ac:dyDescent="0.2">
      <c r="A114" s="2" t="s">
        <v>229</v>
      </c>
      <c r="B114" s="3">
        <v>2</v>
      </c>
      <c r="C114" s="5">
        <v>22.5</v>
      </c>
      <c r="D114" s="4">
        <v>45</v>
      </c>
      <c r="E114" s="3" t="s">
        <v>230</v>
      </c>
      <c r="F114" s="2" t="s">
        <v>205</v>
      </c>
      <c r="G114" s="2" t="s">
        <v>211</v>
      </c>
      <c r="H114" s="2" t="s">
        <v>14</v>
      </c>
      <c r="I114" s="2" t="s">
        <v>78</v>
      </c>
      <c r="J114" s="6" t="str">
        <f>HYPERLINK("http://slimages.macys.com/is/image/MCY/12954543 ")</f>
        <v xml:space="preserve">http://slimages.macys.com/is/image/MCY/12954543 </v>
      </c>
    </row>
    <row r="115" spans="1:10" ht="53" x14ac:dyDescent="0.2">
      <c r="A115" s="2" t="s">
        <v>229</v>
      </c>
      <c r="B115" s="3">
        <v>5</v>
      </c>
      <c r="C115" s="5">
        <v>22.5</v>
      </c>
      <c r="D115" s="4">
        <v>112.5</v>
      </c>
      <c r="E115" s="3" t="s">
        <v>230</v>
      </c>
      <c r="F115" s="2" t="s">
        <v>205</v>
      </c>
      <c r="G115" s="2" t="s">
        <v>211</v>
      </c>
      <c r="H115" s="2" t="s">
        <v>14</v>
      </c>
      <c r="I115" s="2" t="s">
        <v>78</v>
      </c>
      <c r="J115" s="6" t="str">
        <f>HYPERLINK("http://slimages.macys.com/is/image/MCY/12954543 ")</f>
        <v xml:space="preserve">http://slimages.macys.com/is/image/MCY/12954543 </v>
      </c>
    </row>
    <row r="116" spans="1:10" ht="53" x14ac:dyDescent="0.2">
      <c r="A116" s="2" t="s">
        <v>227</v>
      </c>
      <c r="B116" s="3">
        <v>7</v>
      </c>
      <c r="C116" s="5">
        <v>25</v>
      </c>
      <c r="D116" s="4">
        <v>175</v>
      </c>
      <c r="E116" s="3" t="s">
        <v>228</v>
      </c>
      <c r="F116" s="2" t="s">
        <v>55</v>
      </c>
      <c r="G116" s="2" t="s">
        <v>211</v>
      </c>
      <c r="H116" s="2" t="s">
        <v>14</v>
      </c>
      <c r="I116" s="2" t="s">
        <v>78</v>
      </c>
      <c r="J116" s="6" t="str">
        <f>HYPERLINK("http://slimages.macys.com/is/image/MCY/8708172 ")</f>
        <v xml:space="preserve">http://slimages.macys.com/is/image/MCY/8708172 </v>
      </c>
    </row>
    <row r="117" spans="1:10" ht="53" x14ac:dyDescent="0.2">
      <c r="A117" s="2" t="s">
        <v>231</v>
      </c>
      <c r="B117" s="3">
        <v>1</v>
      </c>
      <c r="C117" s="5">
        <v>22.5</v>
      </c>
      <c r="D117" s="4">
        <v>22.5</v>
      </c>
      <c r="E117" s="3" t="s">
        <v>232</v>
      </c>
      <c r="F117" s="2" t="s">
        <v>32</v>
      </c>
      <c r="G117" s="2" t="s">
        <v>211</v>
      </c>
      <c r="H117" s="2" t="s">
        <v>14</v>
      </c>
      <c r="I117" s="2" t="s">
        <v>78</v>
      </c>
      <c r="J117" s="6" t="str">
        <f>HYPERLINK("http://slimages.macys.com/is/image/MCY/12954554 ")</f>
        <v xml:space="preserve">http://slimages.macys.com/is/image/MCY/12954554 </v>
      </c>
    </row>
    <row r="118" spans="1:10" ht="53" x14ac:dyDescent="0.2">
      <c r="A118" s="2" t="s">
        <v>227</v>
      </c>
      <c r="B118" s="3">
        <v>4</v>
      </c>
      <c r="C118" s="5">
        <v>25</v>
      </c>
      <c r="D118" s="4">
        <v>100</v>
      </c>
      <c r="E118" s="3" t="s">
        <v>228</v>
      </c>
      <c r="F118" s="2" t="s">
        <v>55</v>
      </c>
      <c r="G118" s="2" t="s">
        <v>211</v>
      </c>
      <c r="H118" s="2" t="s">
        <v>14</v>
      </c>
      <c r="I118" s="2" t="s">
        <v>78</v>
      </c>
      <c r="J118" s="6" t="str">
        <f>HYPERLINK("http://slimages.macys.com/is/image/MCY/8708172 ")</f>
        <v xml:space="preserve">http://slimages.macys.com/is/image/MCY/8708172 </v>
      </c>
    </row>
    <row r="119" spans="1:10" ht="53" x14ac:dyDescent="0.2">
      <c r="A119" s="2" t="s">
        <v>227</v>
      </c>
      <c r="B119" s="3">
        <v>8</v>
      </c>
      <c r="C119" s="5">
        <v>25</v>
      </c>
      <c r="D119" s="4">
        <v>200</v>
      </c>
      <c r="E119" s="3" t="s">
        <v>228</v>
      </c>
      <c r="F119" s="2" t="s">
        <v>55</v>
      </c>
      <c r="G119" s="2" t="s">
        <v>211</v>
      </c>
      <c r="H119" s="2" t="s">
        <v>14</v>
      </c>
      <c r="I119" s="2" t="s">
        <v>78</v>
      </c>
      <c r="J119" s="6" t="str">
        <f>HYPERLINK("http://slimages.macys.com/is/image/MCY/8708172 ")</f>
        <v xml:space="preserve">http://slimages.macys.com/is/image/MCY/8708172 </v>
      </c>
    </row>
    <row r="120" spans="1:10" ht="53" x14ac:dyDescent="0.2">
      <c r="A120" s="2" t="s">
        <v>231</v>
      </c>
      <c r="B120" s="3">
        <v>6</v>
      </c>
      <c r="C120" s="5">
        <v>22.5</v>
      </c>
      <c r="D120" s="4">
        <v>135</v>
      </c>
      <c r="E120" s="3" t="s">
        <v>232</v>
      </c>
      <c r="F120" s="2" t="s">
        <v>32</v>
      </c>
      <c r="G120" s="2" t="s">
        <v>211</v>
      </c>
      <c r="H120" s="2" t="s">
        <v>14</v>
      </c>
      <c r="I120" s="2" t="s">
        <v>78</v>
      </c>
      <c r="J120" s="6" t="str">
        <f>HYPERLINK("http://slimages.macys.com/is/image/MCY/12954554 ")</f>
        <v xml:space="preserve">http://slimages.macys.com/is/image/MCY/12954554 </v>
      </c>
    </row>
    <row r="121" spans="1:10" ht="53" x14ac:dyDescent="0.2">
      <c r="A121" s="2" t="s">
        <v>227</v>
      </c>
      <c r="B121" s="3">
        <v>4</v>
      </c>
      <c r="C121" s="5">
        <v>25</v>
      </c>
      <c r="D121" s="4">
        <v>100</v>
      </c>
      <c r="E121" s="3" t="s">
        <v>228</v>
      </c>
      <c r="F121" s="2" t="s">
        <v>184</v>
      </c>
      <c r="G121" s="2" t="s">
        <v>211</v>
      </c>
      <c r="H121" s="2" t="s">
        <v>14</v>
      </c>
      <c r="I121" s="2" t="s">
        <v>78</v>
      </c>
      <c r="J121" s="6" t="str">
        <f>HYPERLINK("http://slimages.macys.com/is/image/MCY/8708172 ")</f>
        <v xml:space="preserve">http://slimages.macys.com/is/image/MCY/8708172 </v>
      </c>
    </row>
    <row r="122" spans="1:10" ht="66" x14ac:dyDescent="0.2">
      <c r="A122" s="2" t="s">
        <v>233</v>
      </c>
      <c r="B122" s="3">
        <v>1</v>
      </c>
      <c r="C122" s="5">
        <v>17.989999999999998</v>
      </c>
      <c r="D122" s="4">
        <v>17.989999999999998</v>
      </c>
      <c r="E122" s="3" t="s">
        <v>234</v>
      </c>
      <c r="F122" s="2" t="s">
        <v>235</v>
      </c>
      <c r="G122" s="2" t="s">
        <v>236</v>
      </c>
      <c r="H122" s="2" t="s">
        <v>14</v>
      </c>
      <c r="I122" s="2" t="s">
        <v>237</v>
      </c>
      <c r="J122" s="6" t="str">
        <f>HYPERLINK("http://slimages.macys.com/is/image/MCY/16076731 ")</f>
        <v xml:space="preserve">http://slimages.macys.com/is/image/MCY/16076731 </v>
      </c>
    </row>
    <row r="123" spans="1:10" ht="92" x14ac:dyDescent="0.2">
      <c r="A123" s="2" t="s">
        <v>238</v>
      </c>
      <c r="B123" s="3">
        <v>1</v>
      </c>
      <c r="C123" s="5">
        <v>29.99</v>
      </c>
      <c r="D123" s="4">
        <v>29.99</v>
      </c>
      <c r="E123" s="3" t="s">
        <v>239</v>
      </c>
      <c r="F123" s="2" t="s">
        <v>113</v>
      </c>
      <c r="G123" s="2" t="s">
        <v>136</v>
      </c>
      <c r="H123" s="2" t="s">
        <v>14</v>
      </c>
      <c r="I123" s="2" t="s">
        <v>240</v>
      </c>
      <c r="J123" s="6" t="str">
        <f>HYPERLINK("http://slimages.macys.com/is/image/MCY/16374959 ")</f>
        <v xml:space="preserve">http://slimages.macys.com/is/image/MCY/16374959 </v>
      </c>
    </row>
    <row r="124" spans="1:10" ht="53" x14ac:dyDescent="0.2">
      <c r="A124" s="2" t="s">
        <v>241</v>
      </c>
      <c r="B124" s="3">
        <v>1</v>
      </c>
      <c r="C124" s="5">
        <v>21.83</v>
      </c>
      <c r="D124" s="4">
        <v>21.83</v>
      </c>
      <c r="E124" s="3" t="s">
        <v>242</v>
      </c>
      <c r="F124" s="2"/>
      <c r="G124" s="2" t="s">
        <v>221</v>
      </c>
      <c r="H124" s="2"/>
      <c r="I124" s="2"/>
      <c r="J124" s="6" t="str">
        <f>HYPERLINK("http://slimages.macys.com/is/image/MCY/16661980 ")</f>
        <v xml:space="preserve">http://slimages.macys.com/is/image/MCY/16661980 </v>
      </c>
    </row>
    <row r="125" spans="1:10" ht="53" x14ac:dyDescent="0.2">
      <c r="A125" s="2" t="s">
        <v>243</v>
      </c>
      <c r="B125" s="3">
        <v>1</v>
      </c>
      <c r="C125" s="5">
        <v>20.5</v>
      </c>
      <c r="D125" s="4">
        <v>20.5</v>
      </c>
      <c r="E125" s="3" t="s">
        <v>244</v>
      </c>
      <c r="F125" s="2" t="s">
        <v>12</v>
      </c>
      <c r="G125" s="2" t="s">
        <v>211</v>
      </c>
      <c r="H125" s="2" t="s">
        <v>14</v>
      </c>
      <c r="I125" s="2" t="s">
        <v>245</v>
      </c>
      <c r="J125" s="6" t="str">
        <f>HYPERLINK("http://slimages.macys.com/is/image/MCY/13987396 ")</f>
        <v xml:space="preserve">http://slimages.macys.com/is/image/MCY/13987396 </v>
      </c>
    </row>
    <row r="126" spans="1:10" ht="53" x14ac:dyDescent="0.2">
      <c r="A126" s="2" t="s">
        <v>243</v>
      </c>
      <c r="B126" s="3">
        <v>1</v>
      </c>
      <c r="C126" s="5">
        <v>20.5</v>
      </c>
      <c r="D126" s="4">
        <v>20.5</v>
      </c>
      <c r="E126" s="3" t="s">
        <v>244</v>
      </c>
      <c r="F126" s="2" t="s">
        <v>246</v>
      </c>
      <c r="G126" s="2" t="s">
        <v>211</v>
      </c>
      <c r="H126" s="2" t="s">
        <v>14</v>
      </c>
      <c r="I126" s="2" t="s">
        <v>245</v>
      </c>
      <c r="J126" s="6" t="str">
        <f>HYPERLINK("http://slimages.macys.com/is/image/MCY/13987396 ")</f>
        <v xml:space="preserve">http://slimages.macys.com/is/image/MCY/13987396 </v>
      </c>
    </row>
    <row r="127" spans="1:10" ht="53" x14ac:dyDescent="0.2">
      <c r="A127" s="2" t="s">
        <v>247</v>
      </c>
      <c r="B127" s="3">
        <v>1</v>
      </c>
      <c r="C127" s="5">
        <v>17.95</v>
      </c>
      <c r="D127" s="4">
        <v>17.95</v>
      </c>
      <c r="E127" s="3">
        <v>17637010</v>
      </c>
      <c r="F127" s="2"/>
      <c r="G127" s="2" t="s">
        <v>221</v>
      </c>
      <c r="H127" s="2" t="s">
        <v>14</v>
      </c>
      <c r="I127" s="2" t="s">
        <v>115</v>
      </c>
      <c r="J127" s="6" t="str">
        <f>HYPERLINK("http://slimages.macys.com/is/image/MCY/12836287 ")</f>
        <v xml:space="preserve">http://slimages.macys.com/is/image/MCY/12836287 </v>
      </c>
    </row>
    <row r="128" spans="1:10" ht="53" x14ac:dyDescent="0.2">
      <c r="A128" s="2" t="s">
        <v>248</v>
      </c>
      <c r="B128" s="3">
        <v>1</v>
      </c>
      <c r="C128" s="5">
        <v>17.95</v>
      </c>
      <c r="D128" s="4">
        <v>17.95</v>
      </c>
      <c r="E128" s="3">
        <v>17638410</v>
      </c>
      <c r="F128" s="2"/>
      <c r="G128" s="2" t="s">
        <v>221</v>
      </c>
      <c r="H128" s="2" t="s">
        <v>14</v>
      </c>
      <c r="I128" s="2" t="s">
        <v>142</v>
      </c>
      <c r="J128" s="6" t="str">
        <f>HYPERLINK("http://slimages.macys.com/is/image/MCY/12780619 ")</f>
        <v xml:space="preserve">http://slimages.macys.com/is/image/MCY/12780619 </v>
      </c>
    </row>
    <row r="129" spans="1:10" ht="66" x14ac:dyDescent="0.2">
      <c r="A129" s="2" t="s">
        <v>249</v>
      </c>
      <c r="B129" s="3">
        <v>1</v>
      </c>
      <c r="C129" s="5">
        <v>35</v>
      </c>
      <c r="D129" s="4">
        <v>35</v>
      </c>
      <c r="E129" s="3">
        <v>323793532001</v>
      </c>
      <c r="F129" s="2" t="s">
        <v>12</v>
      </c>
      <c r="G129" s="2" t="s">
        <v>33</v>
      </c>
      <c r="H129" s="2" t="s">
        <v>14</v>
      </c>
      <c r="I129" s="2" t="s">
        <v>73</v>
      </c>
      <c r="J129" s="6" t="str">
        <f>HYPERLINK("http://slimages.macys.com/is/image/MCY/16676609 ")</f>
        <v xml:space="preserve">http://slimages.macys.com/is/image/MCY/16676609 </v>
      </c>
    </row>
    <row r="130" spans="1:10" ht="79" x14ac:dyDescent="0.2">
      <c r="A130" s="2" t="s">
        <v>250</v>
      </c>
      <c r="B130" s="3">
        <v>1</v>
      </c>
      <c r="C130" s="5">
        <v>19.989999999999998</v>
      </c>
      <c r="D130" s="4">
        <v>19.989999999999998</v>
      </c>
      <c r="E130" s="3" t="s">
        <v>251</v>
      </c>
      <c r="F130" s="2" t="s">
        <v>40</v>
      </c>
      <c r="G130" s="2" t="s">
        <v>252</v>
      </c>
      <c r="H130" s="2" t="s">
        <v>14</v>
      </c>
      <c r="I130" s="2" t="s">
        <v>253</v>
      </c>
      <c r="J130" s="6" t="str">
        <f>HYPERLINK("http://slimages.macys.com/is/image/MCY/8256827 ")</f>
        <v xml:space="preserve">http://slimages.macys.com/is/image/MCY/8256827 </v>
      </c>
    </row>
    <row r="131" spans="1:10" ht="53" x14ac:dyDescent="0.2">
      <c r="A131" s="2" t="s">
        <v>254</v>
      </c>
      <c r="B131" s="3">
        <v>1</v>
      </c>
      <c r="C131" s="5">
        <v>24.99</v>
      </c>
      <c r="D131" s="4">
        <v>24.99</v>
      </c>
      <c r="E131" s="3" t="s">
        <v>255</v>
      </c>
      <c r="F131" s="2" t="s">
        <v>102</v>
      </c>
      <c r="G131" s="2" t="s">
        <v>127</v>
      </c>
      <c r="H131" s="2" t="s">
        <v>14</v>
      </c>
      <c r="I131" s="2" t="s">
        <v>256</v>
      </c>
      <c r="J131" s="6" t="str">
        <f>HYPERLINK("http://slimages.macys.com/is/image/MCY/14337867 ")</f>
        <v xml:space="preserve">http://slimages.macys.com/is/image/MCY/14337867 </v>
      </c>
    </row>
    <row r="132" spans="1:10" ht="66" x14ac:dyDescent="0.2">
      <c r="A132" s="2" t="s">
        <v>257</v>
      </c>
      <c r="B132" s="3">
        <v>1</v>
      </c>
      <c r="C132" s="5">
        <v>41.5</v>
      </c>
      <c r="D132" s="4">
        <v>41.5</v>
      </c>
      <c r="E132" s="3" t="s">
        <v>258</v>
      </c>
      <c r="F132" s="2" t="s">
        <v>144</v>
      </c>
      <c r="G132" s="2" t="s">
        <v>114</v>
      </c>
      <c r="H132" s="2" t="s">
        <v>14</v>
      </c>
      <c r="I132" s="2" t="s">
        <v>237</v>
      </c>
      <c r="J132" s="6" t="str">
        <f>HYPERLINK("http://slimages.macys.com/is/image/MCY/8365751 ")</f>
        <v xml:space="preserve">http://slimages.macys.com/is/image/MCY/8365751 </v>
      </c>
    </row>
    <row r="133" spans="1:10" ht="53" x14ac:dyDescent="0.2">
      <c r="A133" s="2" t="s">
        <v>259</v>
      </c>
      <c r="B133" s="3">
        <v>1</v>
      </c>
      <c r="C133" s="5">
        <v>22.99</v>
      </c>
      <c r="D133" s="4">
        <v>22.99</v>
      </c>
      <c r="E133" s="3">
        <v>802917</v>
      </c>
      <c r="F133" s="2" t="s">
        <v>131</v>
      </c>
      <c r="G133" s="2" t="s">
        <v>260</v>
      </c>
      <c r="H133" s="2" t="s">
        <v>14</v>
      </c>
      <c r="I133" s="2" t="s">
        <v>207</v>
      </c>
      <c r="J133" s="6" t="str">
        <f>HYPERLINK("http://slimages.macys.com/is/image/MCY/16585660 ")</f>
        <v xml:space="preserve">http://slimages.macys.com/is/image/MCY/16585660 </v>
      </c>
    </row>
    <row r="134" spans="1:10" ht="53" x14ac:dyDescent="0.2">
      <c r="A134" s="2" t="s">
        <v>261</v>
      </c>
      <c r="B134" s="3">
        <v>1</v>
      </c>
      <c r="C134" s="5">
        <v>17.98</v>
      </c>
      <c r="D134" s="4">
        <v>17.98</v>
      </c>
      <c r="E134" s="3" t="s">
        <v>262</v>
      </c>
      <c r="F134" s="2" t="s">
        <v>69</v>
      </c>
      <c r="G134" s="2" t="s">
        <v>263</v>
      </c>
      <c r="H134" s="2" t="s">
        <v>14</v>
      </c>
      <c r="I134" s="2" t="s">
        <v>73</v>
      </c>
      <c r="J134" s="6" t="str">
        <f>HYPERLINK("http://slimages.macys.com/is/image/MCY/15652322 ")</f>
        <v xml:space="preserve">http://slimages.macys.com/is/image/MCY/15652322 </v>
      </c>
    </row>
    <row r="135" spans="1:10" ht="53" x14ac:dyDescent="0.2">
      <c r="A135" s="2" t="s">
        <v>264</v>
      </c>
      <c r="B135" s="3">
        <v>1</v>
      </c>
      <c r="C135" s="5">
        <v>17.989999999999998</v>
      </c>
      <c r="D135" s="4">
        <v>17.989999999999998</v>
      </c>
      <c r="E135" s="3" t="s">
        <v>265</v>
      </c>
      <c r="F135" s="2" t="s">
        <v>69</v>
      </c>
      <c r="G135" s="2" t="s">
        <v>266</v>
      </c>
      <c r="H135" s="2" t="s">
        <v>14</v>
      </c>
      <c r="I135" s="2" t="s">
        <v>267</v>
      </c>
      <c r="J135" s="6" t="str">
        <f>HYPERLINK("http://slimages.macys.com/is/image/MCY/16260621 ")</f>
        <v xml:space="preserve">http://slimages.macys.com/is/image/MCY/16260621 </v>
      </c>
    </row>
    <row r="136" spans="1:10" ht="53" x14ac:dyDescent="0.2">
      <c r="A136" s="2" t="s">
        <v>268</v>
      </c>
      <c r="B136" s="3">
        <v>1</v>
      </c>
      <c r="C136" s="5">
        <v>27.99</v>
      </c>
      <c r="D136" s="4">
        <v>27.99</v>
      </c>
      <c r="E136" s="3" t="s">
        <v>269</v>
      </c>
      <c r="F136" s="2" t="s">
        <v>162</v>
      </c>
      <c r="G136" s="2" t="s">
        <v>266</v>
      </c>
      <c r="H136" s="2" t="s">
        <v>14</v>
      </c>
      <c r="I136" s="2" t="s">
        <v>270</v>
      </c>
      <c r="J136" s="6" t="str">
        <f>HYPERLINK("http://slimages.macys.com/is/image/MCY/12938567 ")</f>
        <v xml:space="preserve">http://slimages.macys.com/is/image/MCY/12938567 </v>
      </c>
    </row>
    <row r="137" spans="1:10" ht="53" x14ac:dyDescent="0.2">
      <c r="A137" s="2" t="s">
        <v>271</v>
      </c>
      <c r="B137" s="3">
        <v>1</v>
      </c>
      <c r="C137" s="5">
        <v>16.2</v>
      </c>
      <c r="D137" s="4">
        <v>16.2</v>
      </c>
      <c r="E137" s="3" t="s">
        <v>272</v>
      </c>
      <c r="F137" s="2"/>
      <c r="G137" s="2" t="s">
        <v>273</v>
      </c>
      <c r="H137" s="2" t="s">
        <v>14</v>
      </c>
      <c r="I137" s="2" t="s">
        <v>142</v>
      </c>
      <c r="J137" s="6" t="str">
        <f>HYPERLINK("http://slimages.macys.com/is/image/MCY/16358659 ")</f>
        <v xml:space="preserve">http://slimages.macys.com/is/image/MCY/16358659 </v>
      </c>
    </row>
    <row r="138" spans="1:10" ht="53" x14ac:dyDescent="0.2">
      <c r="A138" s="2" t="s">
        <v>274</v>
      </c>
      <c r="B138" s="3">
        <v>1</v>
      </c>
      <c r="C138" s="5">
        <v>14.36</v>
      </c>
      <c r="D138" s="4">
        <v>14.36</v>
      </c>
      <c r="E138" s="3">
        <v>27678410</v>
      </c>
      <c r="F138" s="2" t="s">
        <v>32</v>
      </c>
      <c r="G138" s="2" t="s">
        <v>221</v>
      </c>
      <c r="H138" s="2" t="s">
        <v>14</v>
      </c>
      <c r="I138" s="2" t="s">
        <v>78</v>
      </c>
      <c r="J138" s="6" t="str">
        <f>HYPERLINK("http://slimages.macys.com/is/image/MCY/12875467 ")</f>
        <v xml:space="preserve">http://slimages.macys.com/is/image/MCY/12875467 </v>
      </c>
    </row>
    <row r="139" spans="1:10" ht="66" x14ac:dyDescent="0.2">
      <c r="A139" s="2" t="s">
        <v>233</v>
      </c>
      <c r="B139" s="3">
        <v>1</v>
      </c>
      <c r="C139" s="5">
        <v>17.989999999999998</v>
      </c>
      <c r="D139" s="4">
        <v>17.989999999999998</v>
      </c>
      <c r="E139" s="3" t="s">
        <v>234</v>
      </c>
      <c r="F139" s="2" t="s">
        <v>76</v>
      </c>
      <c r="G139" s="2" t="s">
        <v>236</v>
      </c>
      <c r="H139" s="2" t="s">
        <v>14</v>
      </c>
      <c r="I139" s="2" t="s">
        <v>237</v>
      </c>
      <c r="J139" s="6" t="str">
        <f>HYPERLINK("http://slimages.macys.com/is/image/MCY/16076731 ")</f>
        <v xml:space="preserve">http://slimages.macys.com/is/image/MCY/16076731 </v>
      </c>
    </row>
    <row r="140" spans="1:10" ht="53" x14ac:dyDescent="0.2">
      <c r="A140" s="2" t="s">
        <v>275</v>
      </c>
      <c r="B140" s="3">
        <v>2</v>
      </c>
      <c r="C140" s="5">
        <v>18.2</v>
      </c>
      <c r="D140" s="4">
        <v>36.4</v>
      </c>
      <c r="E140" s="3">
        <v>29972610</v>
      </c>
      <c r="F140" s="2" t="s">
        <v>69</v>
      </c>
      <c r="G140" s="2" t="s">
        <v>221</v>
      </c>
      <c r="H140" s="2" t="s">
        <v>14</v>
      </c>
      <c r="I140" s="2" t="s">
        <v>276</v>
      </c>
      <c r="J140" s="6" t="str">
        <f>HYPERLINK("http://slimages.macys.com/is/image/MCY/16328429 ")</f>
        <v xml:space="preserve">http://slimages.macys.com/is/image/MCY/16328429 </v>
      </c>
    </row>
    <row r="141" spans="1:10" ht="53" x14ac:dyDescent="0.2">
      <c r="A141" s="2" t="s">
        <v>277</v>
      </c>
      <c r="B141" s="3">
        <v>1</v>
      </c>
      <c r="C141" s="5">
        <v>18.2</v>
      </c>
      <c r="D141" s="4">
        <v>18.2</v>
      </c>
      <c r="E141" s="3">
        <v>28661410</v>
      </c>
      <c r="F141" s="2"/>
      <c r="G141" s="2" t="s">
        <v>221</v>
      </c>
      <c r="H141" s="2" t="s">
        <v>14</v>
      </c>
      <c r="I141" s="2" t="s">
        <v>278</v>
      </c>
      <c r="J141" s="6" t="str">
        <f>HYPERLINK("http://slimages.macys.com/is/image/MCY/14580366 ")</f>
        <v xml:space="preserve">http://slimages.macys.com/is/image/MCY/14580366 </v>
      </c>
    </row>
    <row r="142" spans="1:10" ht="53" x14ac:dyDescent="0.2">
      <c r="A142" s="2" t="s">
        <v>279</v>
      </c>
      <c r="B142" s="3">
        <v>3</v>
      </c>
      <c r="C142" s="5">
        <v>14.99</v>
      </c>
      <c r="D142" s="4">
        <v>44.97</v>
      </c>
      <c r="E142" s="3" t="s">
        <v>280</v>
      </c>
      <c r="F142" s="2" t="s">
        <v>281</v>
      </c>
      <c r="G142" s="2" t="s">
        <v>13</v>
      </c>
      <c r="H142" s="2" t="s">
        <v>14</v>
      </c>
      <c r="I142" s="2" t="s">
        <v>282</v>
      </c>
      <c r="J142" s="6" t="str">
        <f>HYPERLINK("http://slimages.macys.com/is/image/MCY/15238899 ")</f>
        <v xml:space="preserve">http://slimages.macys.com/is/image/MCY/15238899 </v>
      </c>
    </row>
    <row r="143" spans="1:10" ht="53" x14ac:dyDescent="0.2">
      <c r="A143" s="2" t="s">
        <v>275</v>
      </c>
      <c r="B143" s="3">
        <v>1</v>
      </c>
      <c r="C143" s="5">
        <v>18.2</v>
      </c>
      <c r="D143" s="4">
        <v>18.2</v>
      </c>
      <c r="E143" s="3">
        <v>29972410</v>
      </c>
      <c r="F143" s="2"/>
      <c r="G143" s="2" t="s">
        <v>221</v>
      </c>
      <c r="H143" s="2" t="s">
        <v>14</v>
      </c>
      <c r="I143" s="2" t="s">
        <v>276</v>
      </c>
      <c r="J143" s="6" t="str">
        <f>HYPERLINK("http://slimages.macys.com/is/image/MCY/16328428 ")</f>
        <v xml:space="preserve">http://slimages.macys.com/is/image/MCY/16328428 </v>
      </c>
    </row>
    <row r="144" spans="1:10" ht="53" x14ac:dyDescent="0.2">
      <c r="A144" s="2" t="s">
        <v>283</v>
      </c>
      <c r="B144" s="3">
        <v>1</v>
      </c>
      <c r="C144" s="5">
        <v>14.99</v>
      </c>
      <c r="D144" s="4">
        <v>14.99</v>
      </c>
      <c r="E144" s="3" t="s">
        <v>284</v>
      </c>
      <c r="F144" s="2" t="s">
        <v>281</v>
      </c>
      <c r="G144" s="2" t="s">
        <v>13</v>
      </c>
      <c r="H144" s="2" t="s">
        <v>14</v>
      </c>
      <c r="I144" s="2" t="s">
        <v>282</v>
      </c>
      <c r="J144" s="6" t="str">
        <f>HYPERLINK("http://slimages.macys.com/is/image/MCY/15238516 ")</f>
        <v xml:space="preserve">http://slimages.macys.com/is/image/MCY/15238516 </v>
      </c>
    </row>
    <row r="145" spans="1:10" ht="53" x14ac:dyDescent="0.2">
      <c r="A145" s="2" t="s">
        <v>285</v>
      </c>
      <c r="B145" s="3">
        <v>1</v>
      </c>
      <c r="C145" s="5">
        <v>24.99</v>
      </c>
      <c r="D145" s="4">
        <v>24.99</v>
      </c>
      <c r="E145" s="3" t="s">
        <v>286</v>
      </c>
      <c r="F145" s="2" t="s">
        <v>12</v>
      </c>
      <c r="G145" s="2" t="s">
        <v>266</v>
      </c>
      <c r="H145" s="2"/>
      <c r="I145" s="2"/>
      <c r="J145" s="6" t="str">
        <f>HYPERLINK("http://slimages.macys.com/is/image/MCY/16522438 ")</f>
        <v xml:space="preserve">http://slimages.macys.com/is/image/MCY/16522438 </v>
      </c>
    </row>
    <row r="146" spans="1:10" ht="53" x14ac:dyDescent="0.2">
      <c r="A146" s="2" t="s">
        <v>287</v>
      </c>
      <c r="B146" s="3">
        <v>1</v>
      </c>
      <c r="C146" s="5">
        <v>24.99</v>
      </c>
      <c r="D146" s="4">
        <v>24.99</v>
      </c>
      <c r="E146" s="3" t="s">
        <v>288</v>
      </c>
      <c r="F146" s="2" t="s">
        <v>12</v>
      </c>
      <c r="G146" s="2" t="s">
        <v>266</v>
      </c>
      <c r="H146" s="2"/>
      <c r="I146" s="2"/>
      <c r="J146" s="6" t="str">
        <f>HYPERLINK("http://slimages.macys.com/is/image/MCY/16522430 ")</f>
        <v xml:space="preserve">http://slimages.macys.com/is/image/MCY/16522430 </v>
      </c>
    </row>
    <row r="147" spans="1:10" ht="53" x14ac:dyDescent="0.2">
      <c r="A147" s="2" t="s">
        <v>287</v>
      </c>
      <c r="B147" s="3">
        <v>1</v>
      </c>
      <c r="C147" s="5">
        <v>24.99</v>
      </c>
      <c r="D147" s="4">
        <v>24.99</v>
      </c>
      <c r="E147" s="3" t="s">
        <v>288</v>
      </c>
      <c r="F147" s="2" t="s">
        <v>12</v>
      </c>
      <c r="G147" s="2" t="s">
        <v>266</v>
      </c>
      <c r="H147" s="2"/>
      <c r="I147" s="2"/>
      <c r="J147" s="6" t="str">
        <f>HYPERLINK("http://slimages.macys.com/is/image/MCY/16522430 ")</f>
        <v xml:space="preserve">http://slimages.macys.com/is/image/MCY/16522430 </v>
      </c>
    </row>
    <row r="148" spans="1:10" ht="53" x14ac:dyDescent="0.2">
      <c r="A148" s="2" t="s">
        <v>289</v>
      </c>
      <c r="B148" s="3">
        <v>1</v>
      </c>
      <c r="C148" s="5">
        <v>30.99</v>
      </c>
      <c r="D148" s="4">
        <v>30.99</v>
      </c>
      <c r="E148" s="3" t="s">
        <v>290</v>
      </c>
      <c r="F148" s="2" t="s">
        <v>184</v>
      </c>
      <c r="G148" s="2" t="s">
        <v>266</v>
      </c>
      <c r="H148" s="2" t="s">
        <v>14</v>
      </c>
      <c r="I148" s="2" t="s">
        <v>291</v>
      </c>
      <c r="J148" s="6" t="str">
        <f>HYPERLINK("http://slimages.macys.com/is/image/MCY/15218102 ")</f>
        <v xml:space="preserve">http://slimages.macys.com/is/image/MCY/15218102 </v>
      </c>
    </row>
    <row r="149" spans="1:10" ht="53" x14ac:dyDescent="0.2">
      <c r="A149" s="2" t="s">
        <v>292</v>
      </c>
      <c r="B149" s="3">
        <v>1</v>
      </c>
      <c r="C149" s="5">
        <v>19.989999999999998</v>
      </c>
      <c r="D149" s="4">
        <v>19.989999999999998</v>
      </c>
      <c r="E149" s="3" t="s">
        <v>293</v>
      </c>
      <c r="F149" s="2" t="s">
        <v>50</v>
      </c>
      <c r="G149" s="2" t="s">
        <v>294</v>
      </c>
      <c r="H149" s="2" t="s">
        <v>14</v>
      </c>
      <c r="I149" s="2" t="s">
        <v>295</v>
      </c>
      <c r="J149" s="6" t="str">
        <f>HYPERLINK("http://slimages.macys.com/is/image/MCY/16268507 ")</f>
        <v xml:space="preserve">http://slimages.macys.com/is/image/MCY/16268507 </v>
      </c>
    </row>
    <row r="150" spans="1:10" ht="53" x14ac:dyDescent="0.2">
      <c r="A150" s="2" t="s">
        <v>296</v>
      </c>
      <c r="B150" s="3">
        <v>1</v>
      </c>
      <c r="C150" s="5">
        <v>19.989999999999998</v>
      </c>
      <c r="D150" s="4">
        <v>19.989999999999998</v>
      </c>
      <c r="E150" s="3" t="s">
        <v>297</v>
      </c>
      <c r="F150" s="2" t="s">
        <v>184</v>
      </c>
      <c r="G150" s="2" t="s">
        <v>294</v>
      </c>
      <c r="H150" s="2" t="s">
        <v>14</v>
      </c>
      <c r="I150" s="2" t="s">
        <v>298</v>
      </c>
      <c r="J150" s="6" t="str">
        <f>HYPERLINK("http://slimages.macys.com/is/image/MCY/11636060 ")</f>
        <v xml:space="preserve">http://slimages.macys.com/is/image/MCY/11636060 </v>
      </c>
    </row>
    <row r="151" spans="1:10" ht="53" x14ac:dyDescent="0.2">
      <c r="A151" s="2" t="s">
        <v>299</v>
      </c>
      <c r="B151" s="3">
        <v>1</v>
      </c>
      <c r="C151" s="5">
        <v>21.99</v>
      </c>
      <c r="D151" s="4">
        <v>21.99</v>
      </c>
      <c r="E151" s="3" t="s">
        <v>300</v>
      </c>
      <c r="F151" s="2" t="s">
        <v>69</v>
      </c>
      <c r="G151" s="2" t="s">
        <v>301</v>
      </c>
      <c r="H151" s="2" t="s">
        <v>14</v>
      </c>
      <c r="I151" s="2" t="s">
        <v>302</v>
      </c>
      <c r="J151" s="6" t="str">
        <f>HYPERLINK("http://slimages.macys.com/is/image/MCY/16608584 ")</f>
        <v xml:space="preserve">http://slimages.macys.com/is/image/MCY/16608584 </v>
      </c>
    </row>
    <row r="152" spans="1:10" ht="53" x14ac:dyDescent="0.2">
      <c r="A152" s="2" t="s">
        <v>303</v>
      </c>
      <c r="B152" s="3">
        <v>7</v>
      </c>
      <c r="C152" s="5">
        <v>18</v>
      </c>
      <c r="D152" s="4">
        <v>126</v>
      </c>
      <c r="E152" s="3" t="s">
        <v>304</v>
      </c>
      <c r="F152" s="2" t="s">
        <v>113</v>
      </c>
      <c r="G152" s="2" t="s">
        <v>305</v>
      </c>
      <c r="H152" s="2" t="s">
        <v>14</v>
      </c>
      <c r="I152" s="2" t="s">
        <v>306</v>
      </c>
      <c r="J152" s="6" t="str">
        <f>HYPERLINK("http://slimages.macys.com/is/image/MCY/10428877 ")</f>
        <v xml:space="preserve">http://slimages.macys.com/is/image/MCY/10428877 </v>
      </c>
    </row>
    <row r="153" spans="1:10" ht="53" x14ac:dyDescent="0.2">
      <c r="A153" s="2" t="s">
        <v>303</v>
      </c>
      <c r="B153" s="3">
        <v>21</v>
      </c>
      <c r="C153" s="5">
        <v>18</v>
      </c>
      <c r="D153" s="4">
        <v>378</v>
      </c>
      <c r="E153" s="3" t="s">
        <v>304</v>
      </c>
      <c r="F153" s="2" t="s">
        <v>113</v>
      </c>
      <c r="G153" s="2" t="s">
        <v>305</v>
      </c>
      <c r="H153" s="2" t="s">
        <v>14</v>
      </c>
      <c r="I153" s="2" t="s">
        <v>306</v>
      </c>
      <c r="J153" s="6" t="str">
        <f>HYPERLINK("http://slimages.macys.com/is/image/MCY/10428877 ")</f>
        <v xml:space="preserve">http://slimages.macys.com/is/image/MCY/10428877 </v>
      </c>
    </row>
    <row r="154" spans="1:10" ht="53" x14ac:dyDescent="0.2">
      <c r="A154" s="2" t="s">
        <v>303</v>
      </c>
      <c r="B154" s="3">
        <v>11</v>
      </c>
      <c r="C154" s="5">
        <v>18</v>
      </c>
      <c r="D154" s="4">
        <v>198</v>
      </c>
      <c r="E154" s="3" t="s">
        <v>304</v>
      </c>
      <c r="F154" s="2" t="s">
        <v>126</v>
      </c>
      <c r="G154" s="2" t="s">
        <v>305</v>
      </c>
      <c r="H154" s="2" t="s">
        <v>14</v>
      </c>
      <c r="I154" s="2" t="s">
        <v>306</v>
      </c>
      <c r="J154" s="6" t="str">
        <f>HYPERLINK("http://slimages.macys.com/is/image/MCY/10428877 ")</f>
        <v xml:space="preserve">http://slimages.macys.com/is/image/MCY/10428877 </v>
      </c>
    </row>
    <row r="155" spans="1:10" ht="53" x14ac:dyDescent="0.2">
      <c r="A155" s="2" t="s">
        <v>303</v>
      </c>
      <c r="B155" s="3">
        <v>2</v>
      </c>
      <c r="C155" s="5">
        <v>18</v>
      </c>
      <c r="D155" s="4">
        <v>36</v>
      </c>
      <c r="E155" s="3" t="s">
        <v>304</v>
      </c>
      <c r="F155" s="2" t="s">
        <v>76</v>
      </c>
      <c r="G155" s="2" t="s">
        <v>305</v>
      </c>
      <c r="H155" s="2" t="s">
        <v>14</v>
      </c>
      <c r="I155" s="2" t="s">
        <v>306</v>
      </c>
      <c r="J155" s="6" t="str">
        <f>HYPERLINK("http://slimages.macys.com/is/image/MCY/10428877 ")</f>
        <v xml:space="preserve">http://slimages.macys.com/is/image/MCY/10428877 </v>
      </c>
    </row>
    <row r="156" spans="1:10" ht="53" x14ac:dyDescent="0.2">
      <c r="A156" s="2" t="s">
        <v>307</v>
      </c>
      <c r="B156" s="3">
        <v>1</v>
      </c>
      <c r="C156" s="5">
        <v>13.73</v>
      </c>
      <c r="D156" s="4">
        <v>13.73</v>
      </c>
      <c r="E156" s="3">
        <v>17645210</v>
      </c>
      <c r="F156" s="2" t="s">
        <v>12</v>
      </c>
      <c r="G156" s="2" t="s">
        <v>221</v>
      </c>
      <c r="H156" s="2" t="s">
        <v>14</v>
      </c>
      <c r="I156" s="2" t="s">
        <v>73</v>
      </c>
      <c r="J156" s="6" t="str">
        <f>HYPERLINK("http://slimages.macys.com/is/image/MCY/12780625 ")</f>
        <v xml:space="preserve">http://slimages.macys.com/is/image/MCY/12780625 </v>
      </c>
    </row>
    <row r="157" spans="1:10" ht="66" x14ac:dyDescent="0.2">
      <c r="A157" s="2" t="s">
        <v>308</v>
      </c>
      <c r="B157" s="3">
        <v>3</v>
      </c>
      <c r="C157" s="5">
        <v>17.989999999999998</v>
      </c>
      <c r="D157" s="4">
        <v>53.97</v>
      </c>
      <c r="E157" s="3" t="s">
        <v>309</v>
      </c>
      <c r="F157" s="2" t="s">
        <v>310</v>
      </c>
      <c r="G157" s="2" t="s">
        <v>311</v>
      </c>
      <c r="H157" s="2" t="s">
        <v>14</v>
      </c>
      <c r="I157" s="2" t="s">
        <v>78</v>
      </c>
      <c r="J157" s="6" t="str">
        <f>HYPERLINK("http://slimages.macys.com/is/image/MCY/14715672 ")</f>
        <v xml:space="preserve">http://slimages.macys.com/is/image/MCY/14715672 </v>
      </c>
    </row>
    <row r="158" spans="1:10" ht="66" x14ac:dyDescent="0.2">
      <c r="A158" s="2" t="s">
        <v>308</v>
      </c>
      <c r="B158" s="3">
        <v>1</v>
      </c>
      <c r="C158" s="5">
        <v>17.989999999999998</v>
      </c>
      <c r="D158" s="4">
        <v>17.989999999999998</v>
      </c>
      <c r="E158" s="3" t="s">
        <v>309</v>
      </c>
      <c r="F158" s="2" t="s">
        <v>310</v>
      </c>
      <c r="G158" s="2" t="s">
        <v>311</v>
      </c>
      <c r="H158" s="2" t="s">
        <v>14</v>
      </c>
      <c r="I158" s="2" t="s">
        <v>78</v>
      </c>
      <c r="J158" s="6" t="str">
        <f>HYPERLINK("http://slimages.macys.com/is/image/MCY/14715672 ")</f>
        <v xml:space="preserve">http://slimages.macys.com/is/image/MCY/14715672 </v>
      </c>
    </row>
    <row r="159" spans="1:10" ht="53" x14ac:dyDescent="0.2">
      <c r="A159" s="2" t="s">
        <v>312</v>
      </c>
      <c r="B159" s="3">
        <v>2</v>
      </c>
      <c r="C159" s="5">
        <v>16.989999999999998</v>
      </c>
      <c r="D159" s="4">
        <v>33.979999999999997</v>
      </c>
      <c r="E159" s="3" t="s">
        <v>313</v>
      </c>
      <c r="F159" s="2" t="s">
        <v>40</v>
      </c>
      <c r="G159" s="2" t="s">
        <v>314</v>
      </c>
      <c r="H159" s="2" t="s">
        <v>14</v>
      </c>
      <c r="I159" s="2" t="s">
        <v>315</v>
      </c>
      <c r="J159" s="6" t="str">
        <f>HYPERLINK("http://slimages.macys.com/is/image/MCY/16013978 ")</f>
        <v xml:space="preserve">http://slimages.macys.com/is/image/MCY/16013978 </v>
      </c>
    </row>
    <row r="160" spans="1:10" ht="53" x14ac:dyDescent="0.2">
      <c r="A160" s="2" t="s">
        <v>312</v>
      </c>
      <c r="B160" s="3">
        <v>2</v>
      </c>
      <c r="C160" s="5">
        <v>16.989999999999998</v>
      </c>
      <c r="D160" s="4">
        <v>33.979999999999997</v>
      </c>
      <c r="E160" s="3" t="s">
        <v>313</v>
      </c>
      <c r="F160" s="2" t="s">
        <v>40</v>
      </c>
      <c r="G160" s="2" t="s">
        <v>314</v>
      </c>
      <c r="H160" s="2" t="s">
        <v>14</v>
      </c>
      <c r="I160" s="2" t="s">
        <v>315</v>
      </c>
      <c r="J160" s="6" t="str">
        <f>HYPERLINK("http://slimages.macys.com/is/image/MCY/16013978 ")</f>
        <v xml:space="preserve">http://slimages.macys.com/is/image/MCY/16013978 </v>
      </c>
    </row>
    <row r="161" spans="1:10" ht="53" x14ac:dyDescent="0.2">
      <c r="A161" s="2" t="s">
        <v>316</v>
      </c>
      <c r="B161" s="3">
        <v>2</v>
      </c>
      <c r="C161" s="5">
        <v>16.989999999999998</v>
      </c>
      <c r="D161" s="4">
        <v>33.979999999999997</v>
      </c>
      <c r="E161" s="3" t="s">
        <v>317</v>
      </c>
      <c r="F161" s="2" t="s">
        <v>61</v>
      </c>
      <c r="G161" s="2" t="s">
        <v>314</v>
      </c>
      <c r="H161" s="2" t="s">
        <v>14</v>
      </c>
      <c r="I161" s="2" t="s">
        <v>318</v>
      </c>
      <c r="J161" s="6" t="str">
        <f>HYPERLINK("http://slimages.macys.com/is/image/MCY/12071765 ")</f>
        <v xml:space="preserve">http://slimages.macys.com/is/image/MCY/12071765 </v>
      </c>
    </row>
    <row r="162" spans="1:10" ht="53" x14ac:dyDescent="0.2">
      <c r="A162" s="2" t="s">
        <v>312</v>
      </c>
      <c r="B162" s="3">
        <v>2</v>
      </c>
      <c r="C162" s="5">
        <v>16.989999999999998</v>
      </c>
      <c r="D162" s="4">
        <v>33.979999999999997</v>
      </c>
      <c r="E162" s="3" t="s">
        <v>313</v>
      </c>
      <c r="F162" s="2" t="s">
        <v>40</v>
      </c>
      <c r="G162" s="2" t="s">
        <v>314</v>
      </c>
      <c r="H162" s="2" t="s">
        <v>14</v>
      </c>
      <c r="I162" s="2" t="s">
        <v>315</v>
      </c>
      <c r="J162" s="6" t="str">
        <f>HYPERLINK("http://slimages.macys.com/is/image/MCY/16013978 ")</f>
        <v xml:space="preserve">http://slimages.macys.com/is/image/MCY/16013978 </v>
      </c>
    </row>
    <row r="163" spans="1:10" ht="66" x14ac:dyDescent="0.2">
      <c r="A163" s="2" t="s">
        <v>319</v>
      </c>
      <c r="B163" s="3">
        <v>4</v>
      </c>
      <c r="C163" s="5">
        <v>16.989999999999998</v>
      </c>
      <c r="D163" s="4">
        <v>67.959999999999994</v>
      </c>
      <c r="E163" s="3" t="s">
        <v>320</v>
      </c>
      <c r="F163" s="2" t="s">
        <v>61</v>
      </c>
      <c r="G163" s="2" t="s">
        <v>314</v>
      </c>
      <c r="H163" s="2" t="s">
        <v>14</v>
      </c>
      <c r="I163" s="2" t="s">
        <v>321</v>
      </c>
      <c r="J163" s="6" t="str">
        <f>HYPERLINK("http://slimages.macys.com/is/image/MCY/15721520 ")</f>
        <v xml:space="preserve">http://slimages.macys.com/is/image/MCY/15721520 </v>
      </c>
    </row>
    <row r="164" spans="1:10" ht="66" x14ac:dyDescent="0.2">
      <c r="A164" s="2" t="s">
        <v>322</v>
      </c>
      <c r="B164" s="3">
        <v>1</v>
      </c>
      <c r="C164" s="5">
        <v>17.989999999999998</v>
      </c>
      <c r="D164" s="4">
        <v>17.989999999999998</v>
      </c>
      <c r="E164" s="3" t="s">
        <v>323</v>
      </c>
      <c r="F164" s="2" t="s">
        <v>324</v>
      </c>
      <c r="G164" s="2" t="s">
        <v>236</v>
      </c>
      <c r="H164" s="2" t="s">
        <v>14</v>
      </c>
      <c r="I164" s="2" t="s">
        <v>115</v>
      </c>
      <c r="J164" s="6" t="str">
        <f>HYPERLINK("http://slimages.macys.com/is/image/MCY/16076710 ")</f>
        <v xml:space="preserve">http://slimages.macys.com/is/image/MCY/16076710 </v>
      </c>
    </row>
    <row r="165" spans="1:10" ht="66" x14ac:dyDescent="0.2">
      <c r="A165" s="2" t="s">
        <v>319</v>
      </c>
      <c r="B165" s="3">
        <v>2</v>
      </c>
      <c r="C165" s="5">
        <v>16.989999999999998</v>
      </c>
      <c r="D165" s="4">
        <v>33.979999999999997</v>
      </c>
      <c r="E165" s="3" t="s">
        <v>320</v>
      </c>
      <c r="F165" s="2" t="s">
        <v>61</v>
      </c>
      <c r="G165" s="2" t="s">
        <v>314</v>
      </c>
      <c r="H165" s="2" t="s">
        <v>14</v>
      </c>
      <c r="I165" s="2" t="s">
        <v>321</v>
      </c>
      <c r="J165" s="6" t="str">
        <f>HYPERLINK("http://slimages.macys.com/is/image/MCY/15721520 ")</f>
        <v xml:space="preserve">http://slimages.macys.com/is/image/MCY/15721520 </v>
      </c>
    </row>
    <row r="166" spans="1:10" ht="53" x14ac:dyDescent="0.2">
      <c r="A166" s="2" t="s">
        <v>325</v>
      </c>
      <c r="B166" s="3">
        <v>1</v>
      </c>
      <c r="C166" s="5">
        <v>17.05</v>
      </c>
      <c r="D166" s="4">
        <v>17.05</v>
      </c>
      <c r="E166" s="3" t="s">
        <v>326</v>
      </c>
      <c r="F166" s="2" t="s">
        <v>281</v>
      </c>
      <c r="G166" s="2" t="s">
        <v>221</v>
      </c>
      <c r="H166" s="2" t="s">
        <v>14</v>
      </c>
      <c r="I166" s="2" t="s">
        <v>142</v>
      </c>
      <c r="J166" s="6" t="str">
        <f>HYPERLINK("http://slimages.macys.com/is/image/MCY/16358874 ")</f>
        <v xml:space="preserve">http://slimages.macys.com/is/image/MCY/16358874 </v>
      </c>
    </row>
    <row r="167" spans="1:10" ht="66" x14ac:dyDescent="0.2">
      <c r="A167" s="2" t="s">
        <v>322</v>
      </c>
      <c r="B167" s="3">
        <v>1</v>
      </c>
      <c r="C167" s="5">
        <v>17.989999999999998</v>
      </c>
      <c r="D167" s="4">
        <v>17.989999999999998</v>
      </c>
      <c r="E167" s="3" t="s">
        <v>323</v>
      </c>
      <c r="F167" s="2" t="s">
        <v>324</v>
      </c>
      <c r="G167" s="2" t="s">
        <v>236</v>
      </c>
      <c r="H167" s="2" t="s">
        <v>14</v>
      </c>
      <c r="I167" s="2" t="s">
        <v>115</v>
      </c>
      <c r="J167" s="6" t="str">
        <f>HYPERLINK("http://slimages.macys.com/is/image/MCY/16076710 ")</f>
        <v xml:space="preserve">http://slimages.macys.com/is/image/MCY/16076710 </v>
      </c>
    </row>
    <row r="168" spans="1:10" ht="79" x14ac:dyDescent="0.2">
      <c r="A168" s="2" t="s">
        <v>327</v>
      </c>
      <c r="B168" s="3">
        <v>1</v>
      </c>
      <c r="C168" s="5">
        <v>18.989999999999998</v>
      </c>
      <c r="D168" s="4">
        <v>18.989999999999998</v>
      </c>
      <c r="E168" s="3" t="s">
        <v>328</v>
      </c>
      <c r="F168" s="2" t="s">
        <v>12</v>
      </c>
      <c r="G168" s="2" t="s">
        <v>329</v>
      </c>
      <c r="H168" s="2" t="s">
        <v>14</v>
      </c>
      <c r="I168" s="2" t="s">
        <v>330</v>
      </c>
      <c r="J168" s="6" t="str">
        <f>HYPERLINK("http://slimages.macys.com/is/image/MCY/16384558 ")</f>
        <v xml:space="preserve">http://slimages.macys.com/is/image/MCY/16384558 </v>
      </c>
    </row>
    <row r="169" spans="1:10" ht="66" x14ac:dyDescent="0.2">
      <c r="A169" s="2" t="s">
        <v>322</v>
      </c>
      <c r="B169" s="3">
        <v>2</v>
      </c>
      <c r="C169" s="5">
        <v>17.989999999999998</v>
      </c>
      <c r="D169" s="4">
        <v>35.979999999999997</v>
      </c>
      <c r="E169" s="3" t="s">
        <v>323</v>
      </c>
      <c r="F169" s="2" t="s">
        <v>324</v>
      </c>
      <c r="G169" s="2" t="s">
        <v>236</v>
      </c>
      <c r="H169" s="2" t="s">
        <v>14</v>
      </c>
      <c r="I169" s="2" t="s">
        <v>115</v>
      </c>
      <c r="J169" s="6" t="str">
        <f>HYPERLINK("http://slimages.macys.com/is/image/MCY/16076710 ")</f>
        <v xml:space="preserve">http://slimages.macys.com/is/image/MCY/16076710 </v>
      </c>
    </row>
    <row r="170" spans="1:10" ht="66" x14ac:dyDescent="0.2">
      <c r="A170" s="2" t="s">
        <v>319</v>
      </c>
      <c r="B170" s="3">
        <v>4</v>
      </c>
      <c r="C170" s="5">
        <v>16.989999999999998</v>
      </c>
      <c r="D170" s="4">
        <v>67.959999999999994</v>
      </c>
      <c r="E170" s="3" t="s">
        <v>320</v>
      </c>
      <c r="F170" s="2" t="s">
        <v>61</v>
      </c>
      <c r="G170" s="2" t="s">
        <v>314</v>
      </c>
      <c r="H170" s="2" t="s">
        <v>14</v>
      </c>
      <c r="I170" s="2" t="s">
        <v>321</v>
      </c>
      <c r="J170" s="6" t="str">
        <f>HYPERLINK("http://slimages.macys.com/is/image/MCY/15721520 ")</f>
        <v xml:space="preserve">http://slimages.macys.com/is/image/MCY/15721520 </v>
      </c>
    </row>
    <row r="171" spans="1:10" ht="53" x14ac:dyDescent="0.2">
      <c r="A171" s="2" t="s">
        <v>331</v>
      </c>
      <c r="B171" s="3">
        <v>1</v>
      </c>
      <c r="C171" s="5">
        <v>14.98</v>
      </c>
      <c r="D171" s="4">
        <v>14.98</v>
      </c>
      <c r="E171" s="3" t="s">
        <v>332</v>
      </c>
      <c r="F171" s="2" t="s">
        <v>69</v>
      </c>
      <c r="G171" s="2" t="s">
        <v>333</v>
      </c>
      <c r="H171" s="2" t="s">
        <v>14</v>
      </c>
      <c r="I171" s="2" t="s">
        <v>291</v>
      </c>
      <c r="J171" s="6" t="str">
        <f>HYPERLINK("http://slimages.macys.com/is/image/MCY/16387408 ")</f>
        <v xml:space="preserve">http://slimages.macys.com/is/image/MCY/16387408 </v>
      </c>
    </row>
    <row r="172" spans="1:10" ht="53" x14ac:dyDescent="0.2">
      <c r="A172" s="2" t="s">
        <v>334</v>
      </c>
      <c r="B172" s="3">
        <v>1</v>
      </c>
      <c r="C172" s="5">
        <v>16.37</v>
      </c>
      <c r="D172" s="4">
        <v>16.37</v>
      </c>
      <c r="E172" s="3" t="s">
        <v>335</v>
      </c>
      <c r="F172" s="2" t="s">
        <v>50</v>
      </c>
      <c r="G172" s="2" t="s">
        <v>221</v>
      </c>
      <c r="H172" s="2" t="s">
        <v>14</v>
      </c>
      <c r="I172" s="2" t="s">
        <v>336</v>
      </c>
      <c r="J172" s="6" t="str">
        <f>HYPERLINK("http://slimages.macys.com/is/image/MCY/16505217 ")</f>
        <v xml:space="preserve">http://slimages.macys.com/is/image/MCY/16505217 </v>
      </c>
    </row>
    <row r="173" spans="1:10" ht="53" x14ac:dyDescent="0.2">
      <c r="A173" s="2" t="s">
        <v>337</v>
      </c>
      <c r="B173" s="3">
        <v>1</v>
      </c>
      <c r="C173" s="5">
        <v>16.989999999999998</v>
      </c>
      <c r="D173" s="4">
        <v>16.989999999999998</v>
      </c>
      <c r="E173" s="3" t="s">
        <v>338</v>
      </c>
      <c r="F173" s="2" t="s">
        <v>162</v>
      </c>
      <c r="G173" s="2" t="s">
        <v>339</v>
      </c>
      <c r="H173" s="2" t="s">
        <v>14</v>
      </c>
      <c r="I173" s="2" t="s">
        <v>291</v>
      </c>
      <c r="J173" s="6" t="str">
        <f>HYPERLINK("http://slimages.macys.com/is/image/MCY/15733942 ")</f>
        <v xml:space="preserve">http://slimages.macys.com/is/image/MCY/15733942 </v>
      </c>
    </row>
    <row r="174" spans="1:10" ht="53" x14ac:dyDescent="0.2">
      <c r="A174" s="2" t="s">
        <v>340</v>
      </c>
      <c r="B174" s="3">
        <v>1</v>
      </c>
      <c r="C174" s="5">
        <v>16.989999999999998</v>
      </c>
      <c r="D174" s="4">
        <v>16.989999999999998</v>
      </c>
      <c r="E174" s="3" t="s">
        <v>341</v>
      </c>
      <c r="F174" s="2" t="s">
        <v>324</v>
      </c>
      <c r="G174" s="2" t="s">
        <v>339</v>
      </c>
      <c r="H174" s="2" t="s">
        <v>14</v>
      </c>
      <c r="I174" s="2" t="s">
        <v>291</v>
      </c>
      <c r="J174" s="6" t="str">
        <f>HYPERLINK("http://slimages.macys.com/is/image/MCY/15733941 ")</f>
        <v xml:space="preserve">http://slimages.macys.com/is/image/MCY/15733941 </v>
      </c>
    </row>
    <row r="175" spans="1:10" ht="53" x14ac:dyDescent="0.2">
      <c r="A175" s="2" t="s">
        <v>342</v>
      </c>
      <c r="B175" s="3">
        <v>1</v>
      </c>
      <c r="C175" s="5">
        <v>16.989999999999998</v>
      </c>
      <c r="D175" s="4">
        <v>16.989999999999998</v>
      </c>
      <c r="E175" s="3" t="s">
        <v>343</v>
      </c>
      <c r="F175" s="2" t="s">
        <v>40</v>
      </c>
      <c r="G175" s="2" t="s">
        <v>314</v>
      </c>
      <c r="H175" s="2" t="s">
        <v>14</v>
      </c>
      <c r="I175" s="2" t="s">
        <v>344</v>
      </c>
      <c r="J175" s="6" t="str">
        <f>HYPERLINK("http://slimages.macys.com/is/image/MCY/15721461 ")</f>
        <v xml:space="preserve">http://slimages.macys.com/is/image/MCY/15721461 </v>
      </c>
    </row>
    <row r="176" spans="1:10" ht="53" x14ac:dyDescent="0.2">
      <c r="A176" s="2" t="s">
        <v>342</v>
      </c>
      <c r="B176" s="3">
        <v>1</v>
      </c>
      <c r="C176" s="5">
        <v>16.989999999999998</v>
      </c>
      <c r="D176" s="4">
        <v>16.989999999999998</v>
      </c>
      <c r="E176" s="3" t="s">
        <v>343</v>
      </c>
      <c r="F176" s="2" t="s">
        <v>40</v>
      </c>
      <c r="G176" s="2" t="s">
        <v>314</v>
      </c>
      <c r="H176" s="2" t="s">
        <v>14</v>
      </c>
      <c r="I176" s="2" t="s">
        <v>344</v>
      </c>
      <c r="J176" s="6" t="str">
        <f>HYPERLINK("http://slimages.macys.com/is/image/MCY/15721461 ")</f>
        <v xml:space="preserve">http://slimages.macys.com/is/image/MCY/15721461 </v>
      </c>
    </row>
    <row r="177" spans="1:10" ht="53" x14ac:dyDescent="0.2">
      <c r="A177" s="2" t="s">
        <v>345</v>
      </c>
      <c r="B177" s="3">
        <v>1</v>
      </c>
      <c r="C177" s="5">
        <v>24.99</v>
      </c>
      <c r="D177" s="4">
        <v>24.99</v>
      </c>
      <c r="E177" s="3" t="s">
        <v>346</v>
      </c>
      <c r="F177" s="2" t="s">
        <v>172</v>
      </c>
      <c r="G177" s="2" t="s">
        <v>347</v>
      </c>
      <c r="H177" s="2"/>
      <c r="I177" s="2"/>
      <c r="J177" s="6" t="str">
        <f>HYPERLINK("http://slimages.macys.com/is/image/MCY/16383879 ")</f>
        <v xml:space="preserve">http://slimages.macys.com/is/image/MCY/16383879 </v>
      </c>
    </row>
    <row r="178" spans="1:10" ht="53" x14ac:dyDescent="0.2">
      <c r="A178" s="2" t="s">
        <v>348</v>
      </c>
      <c r="B178" s="3">
        <v>1</v>
      </c>
      <c r="C178" s="5">
        <v>13.99</v>
      </c>
      <c r="D178" s="4">
        <v>13.99</v>
      </c>
      <c r="E178" s="3" t="s">
        <v>349</v>
      </c>
      <c r="F178" s="2" t="s">
        <v>40</v>
      </c>
      <c r="G178" s="2" t="s">
        <v>350</v>
      </c>
      <c r="H178" s="2" t="s">
        <v>14</v>
      </c>
      <c r="I178" s="2" t="s">
        <v>96</v>
      </c>
      <c r="J178" s="6" t="str">
        <f>HYPERLINK("http://slimages.macys.com/is/image/MCY/13727005 ")</f>
        <v xml:space="preserve">http://slimages.macys.com/is/image/MCY/13727005 </v>
      </c>
    </row>
    <row r="179" spans="1:10" ht="53" x14ac:dyDescent="0.2">
      <c r="A179" s="2" t="s">
        <v>348</v>
      </c>
      <c r="B179" s="3">
        <v>1</v>
      </c>
      <c r="C179" s="5">
        <v>13.99</v>
      </c>
      <c r="D179" s="4">
        <v>13.99</v>
      </c>
      <c r="E179" s="3" t="s">
        <v>349</v>
      </c>
      <c r="F179" s="2" t="s">
        <v>40</v>
      </c>
      <c r="G179" s="2" t="s">
        <v>350</v>
      </c>
      <c r="H179" s="2" t="s">
        <v>14</v>
      </c>
      <c r="I179" s="2" t="s">
        <v>96</v>
      </c>
      <c r="J179" s="6" t="str">
        <f>HYPERLINK("http://slimages.macys.com/is/image/MCY/13727005 ")</f>
        <v xml:space="preserve">http://slimages.macys.com/is/image/MCY/13727005 </v>
      </c>
    </row>
    <row r="180" spans="1:10" ht="53" x14ac:dyDescent="0.2">
      <c r="A180" s="2" t="s">
        <v>348</v>
      </c>
      <c r="B180" s="3">
        <v>3</v>
      </c>
      <c r="C180" s="5">
        <v>13.99</v>
      </c>
      <c r="D180" s="4">
        <v>41.97</v>
      </c>
      <c r="E180" s="3" t="s">
        <v>349</v>
      </c>
      <c r="F180" s="2" t="s">
        <v>40</v>
      </c>
      <c r="G180" s="2" t="s">
        <v>350</v>
      </c>
      <c r="H180" s="2" t="s">
        <v>14</v>
      </c>
      <c r="I180" s="2" t="s">
        <v>96</v>
      </c>
      <c r="J180" s="6" t="str">
        <f>HYPERLINK("http://slimages.macys.com/is/image/MCY/13727005 ")</f>
        <v xml:space="preserve">http://slimages.macys.com/is/image/MCY/13727005 </v>
      </c>
    </row>
    <row r="181" spans="1:10" ht="53" x14ac:dyDescent="0.2">
      <c r="A181" s="2" t="s">
        <v>351</v>
      </c>
      <c r="B181" s="3">
        <v>1</v>
      </c>
      <c r="C181" s="5">
        <v>14</v>
      </c>
      <c r="D181" s="4">
        <v>14</v>
      </c>
      <c r="E181" s="3" t="s">
        <v>352</v>
      </c>
      <c r="F181" s="2" t="s">
        <v>40</v>
      </c>
      <c r="G181" s="2" t="s">
        <v>211</v>
      </c>
      <c r="H181" s="2" t="s">
        <v>14</v>
      </c>
      <c r="I181" s="2" t="s">
        <v>353</v>
      </c>
      <c r="J181" s="6" t="str">
        <f>HYPERLINK("http://slimages.macys.com/is/image/MCY/13914363 ")</f>
        <v xml:space="preserve">http://slimages.macys.com/is/image/MCY/13914363 </v>
      </c>
    </row>
    <row r="182" spans="1:10" ht="53" x14ac:dyDescent="0.2">
      <c r="A182" s="2" t="s">
        <v>351</v>
      </c>
      <c r="B182" s="3">
        <v>1</v>
      </c>
      <c r="C182" s="5">
        <v>14</v>
      </c>
      <c r="D182" s="4">
        <v>14</v>
      </c>
      <c r="E182" s="3" t="s">
        <v>354</v>
      </c>
      <c r="F182" s="2" t="s">
        <v>113</v>
      </c>
      <c r="G182" s="2" t="s">
        <v>211</v>
      </c>
      <c r="H182" s="2" t="s">
        <v>14</v>
      </c>
      <c r="I182" s="2" t="s">
        <v>353</v>
      </c>
      <c r="J182" s="6" t="str">
        <f>HYPERLINK("http://slimages.macys.com/is/image/MCY/13914363 ")</f>
        <v xml:space="preserve">http://slimages.macys.com/is/image/MCY/13914363 </v>
      </c>
    </row>
    <row r="183" spans="1:10" ht="53" x14ac:dyDescent="0.2">
      <c r="A183" s="2" t="s">
        <v>351</v>
      </c>
      <c r="B183" s="3">
        <v>1</v>
      </c>
      <c r="C183" s="5">
        <v>14</v>
      </c>
      <c r="D183" s="4">
        <v>14</v>
      </c>
      <c r="E183" s="3" t="s">
        <v>355</v>
      </c>
      <c r="F183" s="2" t="s">
        <v>12</v>
      </c>
      <c r="G183" s="2" t="s">
        <v>211</v>
      </c>
      <c r="H183" s="2" t="s">
        <v>14</v>
      </c>
      <c r="I183" s="2" t="s">
        <v>353</v>
      </c>
      <c r="J183" s="6" t="str">
        <f>HYPERLINK("http://slimages.macys.com/is/image/MCY/13914363 ")</f>
        <v xml:space="preserve">http://slimages.macys.com/is/image/MCY/13914363 </v>
      </c>
    </row>
    <row r="184" spans="1:10" ht="53" x14ac:dyDescent="0.2">
      <c r="A184" s="2" t="s">
        <v>356</v>
      </c>
      <c r="B184" s="3">
        <v>2</v>
      </c>
      <c r="C184" s="5">
        <v>19.989999999999998</v>
      </c>
      <c r="D184" s="4">
        <v>39.979999999999997</v>
      </c>
      <c r="E184" s="3" t="s">
        <v>357</v>
      </c>
      <c r="F184" s="2" t="s">
        <v>184</v>
      </c>
      <c r="G184" s="2" t="s">
        <v>294</v>
      </c>
      <c r="H184" s="2" t="s">
        <v>14</v>
      </c>
      <c r="I184" s="2" t="s">
        <v>298</v>
      </c>
      <c r="J184" s="6" t="str">
        <f>HYPERLINK("http://slimages.macys.com/is/image/MCY/11636049 ")</f>
        <v xml:space="preserve">http://slimages.macys.com/is/image/MCY/11636049 </v>
      </c>
    </row>
    <row r="185" spans="1:10" ht="53" x14ac:dyDescent="0.2">
      <c r="A185" s="2" t="s">
        <v>358</v>
      </c>
      <c r="B185" s="3">
        <v>1</v>
      </c>
      <c r="C185" s="5">
        <v>22.99</v>
      </c>
      <c r="D185" s="4">
        <v>22.99</v>
      </c>
      <c r="E185" s="3" t="s">
        <v>359</v>
      </c>
      <c r="F185" s="2" t="s">
        <v>32</v>
      </c>
      <c r="G185" s="2" t="s">
        <v>266</v>
      </c>
      <c r="H185" s="2"/>
      <c r="I185" s="2"/>
      <c r="J185" s="6" t="str">
        <f>HYPERLINK("http://slimages.macys.com/is/image/MCY/16835086 ")</f>
        <v xml:space="preserve">http://slimages.macys.com/is/image/MCY/16835086 </v>
      </c>
    </row>
    <row r="186" spans="1:10" ht="53" x14ac:dyDescent="0.2">
      <c r="A186" s="2" t="s">
        <v>358</v>
      </c>
      <c r="B186" s="3">
        <v>1</v>
      </c>
      <c r="C186" s="5">
        <v>22.99</v>
      </c>
      <c r="D186" s="4">
        <v>22.99</v>
      </c>
      <c r="E186" s="3" t="s">
        <v>359</v>
      </c>
      <c r="F186" s="2" t="s">
        <v>32</v>
      </c>
      <c r="G186" s="2" t="s">
        <v>266</v>
      </c>
      <c r="H186" s="2"/>
      <c r="I186" s="2"/>
      <c r="J186" s="6" t="str">
        <f>HYPERLINK("http://slimages.macys.com/is/image/MCY/16835086 ")</f>
        <v xml:space="preserve">http://slimages.macys.com/is/image/MCY/16835086 </v>
      </c>
    </row>
    <row r="187" spans="1:10" ht="53" x14ac:dyDescent="0.2">
      <c r="A187" s="2" t="s">
        <v>358</v>
      </c>
      <c r="B187" s="3">
        <v>1</v>
      </c>
      <c r="C187" s="5">
        <v>22.99</v>
      </c>
      <c r="D187" s="4">
        <v>22.99</v>
      </c>
      <c r="E187" s="3" t="s">
        <v>359</v>
      </c>
      <c r="F187" s="2" t="s">
        <v>32</v>
      </c>
      <c r="G187" s="2" t="s">
        <v>266</v>
      </c>
      <c r="H187" s="2"/>
      <c r="I187" s="2"/>
      <c r="J187" s="6" t="str">
        <f>HYPERLINK("http://slimages.macys.com/is/image/MCY/16835086 ")</f>
        <v xml:space="preserve">http://slimages.macys.com/is/image/MCY/16835086 </v>
      </c>
    </row>
    <row r="188" spans="1:10" ht="53" x14ac:dyDescent="0.2">
      <c r="A188" s="2" t="s">
        <v>360</v>
      </c>
      <c r="B188" s="3">
        <v>1</v>
      </c>
      <c r="C188" s="5">
        <v>14.99</v>
      </c>
      <c r="D188" s="4">
        <v>14.99</v>
      </c>
      <c r="E188" s="3" t="s">
        <v>361</v>
      </c>
      <c r="F188" s="2" t="s">
        <v>162</v>
      </c>
      <c r="G188" s="2" t="s">
        <v>362</v>
      </c>
      <c r="H188" s="2" t="s">
        <v>14</v>
      </c>
      <c r="I188" s="2" t="s">
        <v>291</v>
      </c>
      <c r="J188" s="6" t="str">
        <f>HYPERLINK("http://slimages.macys.com/is/image/MCY/14890508 ")</f>
        <v xml:space="preserve">http://slimages.macys.com/is/image/MCY/14890508 </v>
      </c>
    </row>
    <row r="189" spans="1:10" ht="53" x14ac:dyDescent="0.2">
      <c r="A189" s="2" t="s">
        <v>363</v>
      </c>
      <c r="B189" s="3">
        <v>2</v>
      </c>
      <c r="C189" s="5">
        <v>14.99</v>
      </c>
      <c r="D189" s="4">
        <v>29.98</v>
      </c>
      <c r="E189" s="3" t="s">
        <v>364</v>
      </c>
      <c r="F189" s="2" t="s">
        <v>69</v>
      </c>
      <c r="G189" s="2" t="s">
        <v>362</v>
      </c>
      <c r="H189" s="2" t="s">
        <v>14</v>
      </c>
      <c r="I189" s="2" t="s">
        <v>291</v>
      </c>
      <c r="J189" s="6" t="str">
        <f>HYPERLINK("http://slimages.macys.com/is/image/MCY/14890567 ")</f>
        <v xml:space="preserve">http://slimages.macys.com/is/image/MCY/14890567 </v>
      </c>
    </row>
    <row r="190" spans="1:10" ht="53" x14ac:dyDescent="0.2">
      <c r="A190" s="2" t="s">
        <v>365</v>
      </c>
      <c r="B190" s="3">
        <v>1</v>
      </c>
      <c r="C190" s="5">
        <v>17.989999999999998</v>
      </c>
      <c r="D190" s="4">
        <v>17.989999999999998</v>
      </c>
      <c r="E190" s="3" t="s">
        <v>366</v>
      </c>
      <c r="F190" s="2" t="s">
        <v>367</v>
      </c>
      <c r="G190" s="2" t="s">
        <v>368</v>
      </c>
      <c r="H190" s="2" t="s">
        <v>14</v>
      </c>
      <c r="I190" s="2" t="s">
        <v>369</v>
      </c>
      <c r="J190" s="6" t="str">
        <f>HYPERLINK("http://slimages.macys.com/is/image/MCY/15965905 ")</f>
        <v xml:space="preserve">http://slimages.macys.com/is/image/MCY/15965905 </v>
      </c>
    </row>
    <row r="191" spans="1:10" ht="53" x14ac:dyDescent="0.2">
      <c r="A191" s="2" t="s">
        <v>370</v>
      </c>
      <c r="B191" s="3">
        <v>1</v>
      </c>
      <c r="C191" s="5">
        <v>18</v>
      </c>
      <c r="D191" s="4">
        <v>18</v>
      </c>
      <c r="E191" s="3" t="s">
        <v>371</v>
      </c>
      <c r="F191" s="2" t="s">
        <v>144</v>
      </c>
      <c r="G191" s="2" t="s">
        <v>368</v>
      </c>
      <c r="H191" s="2" t="s">
        <v>14</v>
      </c>
      <c r="I191" s="2" t="s">
        <v>369</v>
      </c>
      <c r="J191" s="6" t="str">
        <f>HYPERLINK("http://slimages.macys.com/is/image/MCY/13468835 ")</f>
        <v xml:space="preserve">http://slimages.macys.com/is/image/MCY/13468835 </v>
      </c>
    </row>
    <row r="192" spans="1:10" ht="53" x14ac:dyDescent="0.2">
      <c r="A192" s="2" t="s">
        <v>372</v>
      </c>
      <c r="B192" s="3">
        <v>1</v>
      </c>
      <c r="C192" s="5">
        <v>13.99</v>
      </c>
      <c r="D192" s="4">
        <v>13.99</v>
      </c>
      <c r="E192" s="3" t="s">
        <v>373</v>
      </c>
      <c r="F192" s="2" t="s">
        <v>374</v>
      </c>
      <c r="G192" s="2" t="s">
        <v>375</v>
      </c>
      <c r="H192" s="2"/>
      <c r="I192" s="2"/>
      <c r="J192" s="6" t="str">
        <f>HYPERLINK("http://slimages.macys.com/is/image/MCY/8647388 ")</f>
        <v xml:space="preserve">http://slimages.macys.com/is/image/MCY/8647388 </v>
      </c>
    </row>
    <row r="193" spans="1:10" ht="53" x14ac:dyDescent="0.2">
      <c r="A193" s="2" t="s">
        <v>376</v>
      </c>
      <c r="B193" s="3">
        <v>1</v>
      </c>
      <c r="C193" s="5">
        <v>11.76</v>
      </c>
      <c r="D193" s="4">
        <v>11.76</v>
      </c>
      <c r="E193" s="3">
        <v>17634010</v>
      </c>
      <c r="F193" s="2" t="s">
        <v>32</v>
      </c>
      <c r="G193" s="2" t="s">
        <v>221</v>
      </c>
      <c r="H193" s="2" t="s">
        <v>14</v>
      </c>
      <c r="I193" s="2" t="s">
        <v>73</v>
      </c>
      <c r="J193" s="6" t="str">
        <f>HYPERLINK("http://slimages.macys.com/is/image/MCY/12836284 ")</f>
        <v xml:space="preserve">http://slimages.macys.com/is/image/MCY/12836284 </v>
      </c>
    </row>
    <row r="194" spans="1:10" ht="53" x14ac:dyDescent="0.2">
      <c r="A194" s="2" t="s">
        <v>377</v>
      </c>
      <c r="B194" s="3">
        <v>1</v>
      </c>
      <c r="C194" s="5">
        <v>11.76</v>
      </c>
      <c r="D194" s="4">
        <v>11.76</v>
      </c>
      <c r="E194" s="3">
        <v>17643410</v>
      </c>
      <c r="F194" s="2" t="s">
        <v>12</v>
      </c>
      <c r="G194" s="2" t="s">
        <v>221</v>
      </c>
      <c r="H194" s="2" t="s">
        <v>14</v>
      </c>
      <c r="I194" s="2" t="s">
        <v>115</v>
      </c>
      <c r="J194" s="6" t="str">
        <f>HYPERLINK("http://slimages.macys.com/is/image/MCY/12780307 ")</f>
        <v xml:space="preserve">http://slimages.macys.com/is/image/MCY/12780307 </v>
      </c>
    </row>
    <row r="195" spans="1:10" ht="79" x14ac:dyDescent="0.2">
      <c r="A195" s="2" t="s">
        <v>378</v>
      </c>
      <c r="B195" s="3">
        <v>1</v>
      </c>
      <c r="C195" s="5">
        <v>14.55</v>
      </c>
      <c r="D195" s="4">
        <v>14.55</v>
      </c>
      <c r="E195" s="3" t="s">
        <v>379</v>
      </c>
      <c r="F195" s="2"/>
      <c r="G195" s="2" t="s">
        <v>221</v>
      </c>
      <c r="H195" s="2" t="s">
        <v>14</v>
      </c>
      <c r="I195" s="2" t="s">
        <v>380</v>
      </c>
      <c r="J195" s="6" t="str">
        <f>HYPERLINK("http://slimages.macys.com/is/image/MCY/15914756 ")</f>
        <v xml:space="preserve">http://slimages.macys.com/is/image/MCY/15914756 </v>
      </c>
    </row>
    <row r="196" spans="1:10" ht="53" x14ac:dyDescent="0.2">
      <c r="A196" s="2" t="s">
        <v>381</v>
      </c>
      <c r="B196" s="3">
        <v>1</v>
      </c>
      <c r="C196" s="5">
        <v>14.55</v>
      </c>
      <c r="D196" s="4">
        <v>14.55</v>
      </c>
      <c r="E196" s="3" t="s">
        <v>382</v>
      </c>
      <c r="F196" s="2"/>
      <c r="G196" s="2" t="s">
        <v>221</v>
      </c>
      <c r="H196" s="2" t="s">
        <v>14</v>
      </c>
      <c r="I196" s="2" t="s">
        <v>115</v>
      </c>
      <c r="J196" s="6" t="str">
        <f>HYPERLINK("http://slimages.macys.com/is/image/MCY/16585995 ")</f>
        <v xml:space="preserve">http://slimages.macys.com/is/image/MCY/16585995 </v>
      </c>
    </row>
    <row r="197" spans="1:10" ht="53" x14ac:dyDescent="0.2">
      <c r="A197" s="2" t="s">
        <v>383</v>
      </c>
      <c r="B197" s="3">
        <v>1</v>
      </c>
      <c r="C197" s="5">
        <v>19.989999999999998</v>
      </c>
      <c r="D197" s="4">
        <v>19.989999999999998</v>
      </c>
      <c r="E197" s="3" t="s">
        <v>384</v>
      </c>
      <c r="F197" s="2" t="s">
        <v>69</v>
      </c>
      <c r="G197" s="2" t="s">
        <v>385</v>
      </c>
      <c r="H197" s="2"/>
      <c r="I197" s="2"/>
      <c r="J197" s="6" t="str">
        <f>HYPERLINK("http://slimages.macys.com/is/image/MCY/16619656 ")</f>
        <v xml:space="preserve">http://slimages.macys.com/is/image/MCY/16619656 </v>
      </c>
    </row>
    <row r="198" spans="1:10" ht="53" x14ac:dyDescent="0.2">
      <c r="A198" s="2" t="s">
        <v>386</v>
      </c>
      <c r="B198" s="3">
        <v>6</v>
      </c>
      <c r="C198" s="5">
        <v>16</v>
      </c>
      <c r="D198" s="4">
        <v>96</v>
      </c>
      <c r="E198" s="3" t="s">
        <v>387</v>
      </c>
      <c r="F198" s="2" t="s">
        <v>388</v>
      </c>
      <c r="G198" s="2" t="s">
        <v>305</v>
      </c>
      <c r="H198" s="2" t="s">
        <v>14</v>
      </c>
      <c r="I198" s="2" t="s">
        <v>389</v>
      </c>
      <c r="J198" s="6" t="str">
        <f>HYPERLINK("http://slimages.macys.com/is/image/MCY/13936533 ")</f>
        <v xml:space="preserve">http://slimages.macys.com/is/image/MCY/13936533 </v>
      </c>
    </row>
    <row r="199" spans="1:10" ht="53" x14ac:dyDescent="0.2">
      <c r="A199" s="2" t="s">
        <v>390</v>
      </c>
      <c r="B199" s="3">
        <v>1</v>
      </c>
      <c r="C199" s="5">
        <v>14.98</v>
      </c>
      <c r="D199" s="4">
        <v>14.98</v>
      </c>
      <c r="E199" s="3" t="s">
        <v>391</v>
      </c>
      <c r="F199" s="2" t="s">
        <v>69</v>
      </c>
      <c r="G199" s="2" t="s">
        <v>339</v>
      </c>
      <c r="H199" s="2" t="s">
        <v>14</v>
      </c>
      <c r="I199" s="2" t="s">
        <v>78</v>
      </c>
      <c r="J199" s="6" t="str">
        <f>HYPERLINK("http://slimages.macys.com/is/image/MCY/16382406 ")</f>
        <v xml:space="preserve">http://slimages.macys.com/is/image/MCY/16382406 </v>
      </c>
    </row>
    <row r="200" spans="1:10" ht="53" x14ac:dyDescent="0.2">
      <c r="A200" s="2" t="s">
        <v>392</v>
      </c>
      <c r="B200" s="3">
        <v>1</v>
      </c>
      <c r="C200" s="5">
        <v>16.03</v>
      </c>
      <c r="D200" s="4">
        <v>16.03</v>
      </c>
      <c r="E200" s="3" t="s">
        <v>393</v>
      </c>
      <c r="F200" s="2"/>
      <c r="G200" s="2" t="s">
        <v>221</v>
      </c>
      <c r="H200" s="2" t="s">
        <v>14</v>
      </c>
      <c r="I200" s="2" t="s">
        <v>142</v>
      </c>
      <c r="J200" s="6" t="str">
        <f>HYPERLINK("http://slimages.macys.com/is/image/MCY/16661976 ")</f>
        <v xml:space="preserve">http://slimages.macys.com/is/image/MCY/16661976 </v>
      </c>
    </row>
    <row r="201" spans="1:10" ht="53" x14ac:dyDescent="0.2">
      <c r="A201" s="2" t="s">
        <v>386</v>
      </c>
      <c r="B201" s="3">
        <v>7</v>
      </c>
      <c r="C201" s="5">
        <v>16</v>
      </c>
      <c r="D201" s="4">
        <v>112</v>
      </c>
      <c r="E201" s="3" t="s">
        <v>387</v>
      </c>
      <c r="F201" s="2" t="s">
        <v>388</v>
      </c>
      <c r="G201" s="2" t="s">
        <v>305</v>
      </c>
      <c r="H201" s="2" t="s">
        <v>14</v>
      </c>
      <c r="I201" s="2" t="s">
        <v>389</v>
      </c>
      <c r="J201" s="6" t="str">
        <f>HYPERLINK("http://slimages.macys.com/is/image/MCY/13936533 ")</f>
        <v xml:space="preserve">http://slimages.macys.com/is/image/MCY/13936533 </v>
      </c>
    </row>
    <row r="202" spans="1:10" ht="53" x14ac:dyDescent="0.2">
      <c r="A202" s="2" t="s">
        <v>394</v>
      </c>
      <c r="B202" s="3">
        <v>1</v>
      </c>
      <c r="C202" s="5">
        <v>12.99</v>
      </c>
      <c r="D202" s="4">
        <v>12.99</v>
      </c>
      <c r="E202" s="3" t="s">
        <v>395</v>
      </c>
      <c r="F202" s="2" t="s">
        <v>76</v>
      </c>
      <c r="G202" s="2" t="s">
        <v>396</v>
      </c>
      <c r="H202" s="2" t="s">
        <v>14</v>
      </c>
      <c r="I202" s="2" t="s">
        <v>78</v>
      </c>
      <c r="J202" s="6" t="str">
        <f>HYPERLINK("http://slimages.macys.com/is/image/MCY/13700064 ")</f>
        <v xml:space="preserve">http://slimages.macys.com/is/image/MCY/13700064 </v>
      </c>
    </row>
    <row r="203" spans="1:10" ht="53" x14ac:dyDescent="0.2">
      <c r="A203" s="2" t="s">
        <v>397</v>
      </c>
      <c r="B203" s="3">
        <v>1</v>
      </c>
      <c r="C203" s="5">
        <v>12.99</v>
      </c>
      <c r="D203" s="4">
        <v>12.99</v>
      </c>
      <c r="E203" s="3" t="s">
        <v>398</v>
      </c>
      <c r="F203" s="2" t="s">
        <v>69</v>
      </c>
      <c r="G203" s="2" t="s">
        <v>396</v>
      </c>
      <c r="H203" s="2" t="s">
        <v>14</v>
      </c>
      <c r="I203" s="2" t="s">
        <v>142</v>
      </c>
      <c r="J203" s="6" t="str">
        <f>HYPERLINK("http://slimages.macys.com/is/image/MCY/16535439 ")</f>
        <v xml:space="preserve">http://slimages.macys.com/is/image/MCY/16535439 </v>
      </c>
    </row>
    <row r="204" spans="1:10" ht="53" x14ac:dyDescent="0.2">
      <c r="A204" s="2" t="s">
        <v>399</v>
      </c>
      <c r="B204" s="3">
        <v>4</v>
      </c>
      <c r="C204" s="5">
        <v>14.99</v>
      </c>
      <c r="D204" s="4">
        <v>59.96</v>
      </c>
      <c r="E204" s="3" t="s">
        <v>400</v>
      </c>
      <c r="F204" s="2" t="s">
        <v>36</v>
      </c>
      <c r="G204" s="2" t="s">
        <v>401</v>
      </c>
      <c r="H204" s="2"/>
      <c r="I204" s="2"/>
      <c r="J204" s="6" t="str">
        <f>HYPERLINK("http://slimages.macys.com/is/image/MCY/16685230 ")</f>
        <v xml:space="preserve">http://slimages.macys.com/is/image/MCY/16685230 </v>
      </c>
    </row>
    <row r="205" spans="1:10" ht="53" x14ac:dyDescent="0.2">
      <c r="A205" s="2" t="s">
        <v>402</v>
      </c>
      <c r="B205" s="3">
        <v>1</v>
      </c>
      <c r="C205" s="5">
        <v>14.99</v>
      </c>
      <c r="D205" s="4">
        <v>14.99</v>
      </c>
      <c r="E205" s="3" t="s">
        <v>403</v>
      </c>
      <c r="F205" s="2" t="s">
        <v>32</v>
      </c>
      <c r="G205" s="2" t="s">
        <v>401</v>
      </c>
      <c r="H205" s="2"/>
      <c r="I205" s="2"/>
      <c r="J205" s="6" t="str">
        <f>HYPERLINK("http://slimages.macys.com/is/image/MCY/16685250 ")</f>
        <v xml:space="preserve">http://slimages.macys.com/is/image/MCY/16685250 </v>
      </c>
    </row>
    <row r="206" spans="1:10" ht="53" x14ac:dyDescent="0.2">
      <c r="A206" s="2" t="s">
        <v>404</v>
      </c>
      <c r="B206" s="3">
        <v>9</v>
      </c>
      <c r="C206" s="5">
        <v>14.99</v>
      </c>
      <c r="D206" s="4">
        <v>134.91</v>
      </c>
      <c r="E206" s="3" t="s">
        <v>405</v>
      </c>
      <c r="F206" s="2" t="s">
        <v>224</v>
      </c>
      <c r="G206" s="2" t="s">
        <v>401</v>
      </c>
      <c r="H206" s="2"/>
      <c r="I206" s="2"/>
      <c r="J206" s="6" t="str">
        <f>HYPERLINK("http://slimages.macys.com/is/image/MCY/16685251 ")</f>
        <v xml:space="preserve">http://slimages.macys.com/is/image/MCY/16685251 </v>
      </c>
    </row>
    <row r="207" spans="1:10" ht="53" x14ac:dyDescent="0.2">
      <c r="A207" s="2" t="s">
        <v>406</v>
      </c>
      <c r="B207" s="3">
        <v>5</v>
      </c>
      <c r="C207" s="5">
        <v>14.99</v>
      </c>
      <c r="D207" s="4">
        <v>74.95</v>
      </c>
      <c r="E207" s="3" t="s">
        <v>407</v>
      </c>
      <c r="F207" s="2" t="s">
        <v>224</v>
      </c>
      <c r="G207" s="2" t="s">
        <v>401</v>
      </c>
      <c r="H207" s="2"/>
      <c r="I207" s="2"/>
      <c r="J207" s="6" t="str">
        <f>HYPERLINK("http://slimages.macys.com/is/image/MCY/16685247 ")</f>
        <v xml:space="preserve">http://slimages.macys.com/is/image/MCY/16685247 </v>
      </c>
    </row>
    <row r="208" spans="1:10" ht="53" x14ac:dyDescent="0.2">
      <c r="A208" s="2" t="s">
        <v>408</v>
      </c>
      <c r="B208" s="3">
        <v>4</v>
      </c>
      <c r="C208" s="5">
        <v>14.99</v>
      </c>
      <c r="D208" s="4">
        <v>59.96</v>
      </c>
      <c r="E208" s="3" t="s">
        <v>409</v>
      </c>
      <c r="F208" s="2" t="s">
        <v>32</v>
      </c>
      <c r="G208" s="2" t="s">
        <v>401</v>
      </c>
      <c r="H208" s="2"/>
      <c r="I208" s="2"/>
      <c r="J208" s="6" t="str">
        <f>HYPERLINK("http://slimages.macys.com/is/image/MCY/16685206 ")</f>
        <v xml:space="preserve">http://slimages.macys.com/is/image/MCY/16685206 </v>
      </c>
    </row>
    <row r="209" spans="1:10" ht="53" x14ac:dyDescent="0.2">
      <c r="A209" s="2" t="s">
        <v>410</v>
      </c>
      <c r="B209" s="3">
        <v>7</v>
      </c>
      <c r="C209" s="5">
        <v>14.99</v>
      </c>
      <c r="D209" s="4">
        <v>104.93</v>
      </c>
      <c r="E209" s="3" t="s">
        <v>411</v>
      </c>
      <c r="F209" s="2" t="s">
        <v>32</v>
      </c>
      <c r="G209" s="2" t="s">
        <v>401</v>
      </c>
      <c r="H209" s="2"/>
      <c r="I209" s="2"/>
      <c r="J209" s="6" t="str">
        <f>HYPERLINK("http://slimages.macys.com/is/image/MCY/16685257 ")</f>
        <v xml:space="preserve">http://slimages.macys.com/is/image/MCY/16685257 </v>
      </c>
    </row>
    <row r="210" spans="1:10" ht="53" x14ac:dyDescent="0.2">
      <c r="A210" s="2" t="s">
        <v>412</v>
      </c>
      <c r="B210" s="3">
        <v>4</v>
      </c>
      <c r="C210" s="5">
        <v>14.99</v>
      </c>
      <c r="D210" s="4">
        <v>59.96</v>
      </c>
      <c r="E210" s="3" t="s">
        <v>413</v>
      </c>
      <c r="F210" s="2" t="s">
        <v>32</v>
      </c>
      <c r="G210" s="2" t="s">
        <v>401</v>
      </c>
      <c r="H210" s="2"/>
      <c r="I210" s="2"/>
      <c r="J210" s="6" t="str">
        <f>HYPERLINK("http://slimages.macys.com/is/image/MCY/16685196 ")</f>
        <v xml:space="preserve">http://slimages.macys.com/is/image/MCY/16685196 </v>
      </c>
    </row>
    <row r="211" spans="1:10" ht="53" x14ac:dyDescent="0.2">
      <c r="A211" s="2" t="s">
        <v>414</v>
      </c>
      <c r="B211" s="3">
        <v>2</v>
      </c>
      <c r="C211" s="5">
        <v>14.99</v>
      </c>
      <c r="D211" s="4">
        <v>29.98</v>
      </c>
      <c r="E211" s="3" t="s">
        <v>415</v>
      </c>
      <c r="F211" s="2" t="s">
        <v>32</v>
      </c>
      <c r="G211" s="2" t="s">
        <v>401</v>
      </c>
      <c r="H211" s="2"/>
      <c r="I211" s="2"/>
      <c r="J211" s="6" t="str">
        <f>HYPERLINK("http://slimages.macys.com/is/image/MCY/16685205 ")</f>
        <v xml:space="preserve">http://slimages.macys.com/is/image/MCY/16685205 </v>
      </c>
    </row>
    <row r="212" spans="1:10" ht="53" x14ac:dyDescent="0.2">
      <c r="A212" s="2" t="s">
        <v>416</v>
      </c>
      <c r="B212" s="3">
        <v>1</v>
      </c>
      <c r="C212" s="5">
        <v>14.99</v>
      </c>
      <c r="D212" s="4">
        <v>14.99</v>
      </c>
      <c r="E212" s="3" t="s">
        <v>417</v>
      </c>
      <c r="F212" s="2" t="s">
        <v>224</v>
      </c>
      <c r="G212" s="2" t="s">
        <v>401</v>
      </c>
      <c r="H212" s="2"/>
      <c r="I212" s="2"/>
      <c r="J212" s="6" t="str">
        <f>HYPERLINK("http://slimages.macys.com/is/image/MCY/16685186 ")</f>
        <v xml:space="preserve">http://slimages.macys.com/is/image/MCY/16685186 </v>
      </c>
    </row>
    <row r="213" spans="1:10" ht="53" x14ac:dyDescent="0.2">
      <c r="A213" s="2" t="s">
        <v>399</v>
      </c>
      <c r="B213" s="3">
        <v>5</v>
      </c>
      <c r="C213" s="5">
        <v>14.99</v>
      </c>
      <c r="D213" s="4">
        <v>74.95</v>
      </c>
      <c r="E213" s="3" t="s">
        <v>400</v>
      </c>
      <c r="F213" s="2" t="s">
        <v>184</v>
      </c>
      <c r="G213" s="2" t="s">
        <v>401</v>
      </c>
      <c r="H213" s="2"/>
      <c r="I213" s="2"/>
      <c r="J213" s="6" t="str">
        <f>HYPERLINK("http://slimages.macys.com/is/image/MCY/16685230 ")</f>
        <v xml:space="preserve">http://slimages.macys.com/is/image/MCY/16685230 </v>
      </c>
    </row>
    <row r="214" spans="1:10" ht="53" x14ac:dyDescent="0.2">
      <c r="A214" s="2" t="s">
        <v>408</v>
      </c>
      <c r="B214" s="3">
        <v>1</v>
      </c>
      <c r="C214" s="5">
        <v>14.99</v>
      </c>
      <c r="D214" s="4">
        <v>14.99</v>
      </c>
      <c r="E214" s="3" t="s">
        <v>409</v>
      </c>
      <c r="F214" s="2" t="s">
        <v>177</v>
      </c>
      <c r="G214" s="2" t="s">
        <v>401</v>
      </c>
      <c r="H214" s="2"/>
      <c r="I214" s="2"/>
      <c r="J214" s="6" t="str">
        <f>HYPERLINK("http://slimages.macys.com/is/image/MCY/16685206 ")</f>
        <v xml:space="preserve">http://slimages.macys.com/is/image/MCY/16685206 </v>
      </c>
    </row>
    <row r="215" spans="1:10" ht="53" x14ac:dyDescent="0.2">
      <c r="A215" s="2" t="s">
        <v>418</v>
      </c>
      <c r="B215" s="3">
        <v>1</v>
      </c>
      <c r="C215" s="5">
        <v>11.98</v>
      </c>
      <c r="D215" s="4">
        <v>11.98</v>
      </c>
      <c r="E215" s="3" t="s">
        <v>419</v>
      </c>
      <c r="F215" s="2" t="s">
        <v>184</v>
      </c>
      <c r="G215" s="2" t="s">
        <v>263</v>
      </c>
      <c r="H215" s="2" t="s">
        <v>14</v>
      </c>
      <c r="I215" s="2" t="s">
        <v>115</v>
      </c>
      <c r="J215" s="6" t="str">
        <f>HYPERLINK("http://slimages.macys.com/is/image/MCY/13941560 ")</f>
        <v xml:space="preserve">http://slimages.macys.com/is/image/MCY/13941560 </v>
      </c>
    </row>
    <row r="216" spans="1:10" ht="53" x14ac:dyDescent="0.2">
      <c r="A216" s="2" t="s">
        <v>420</v>
      </c>
      <c r="B216" s="3">
        <v>6</v>
      </c>
      <c r="C216" s="5">
        <v>14.99</v>
      </c>
      <c r="D216" s="4">
        <v>89.94</v>
      </c>
      <c r="E216" s="3" t="s">
        <v>421</v>
      </c>
      <c r="F216" s="2" t="s">
        <v>32</v>
      </c>
      <c r="G216" s="2" t="s">
        <v>401</v>
      </c>
      <c r="H216" s="2"/>
      <c r="I216" s="2"/>
      <c r="J216" s="6" t="str">
        <f>HYPERLINK("http://slimages.macys.com/is/image/MCY/16685261 ")</f>
        <v xml:space="preserve">http://slimages.macys.com/is/image/MCY/16685261 </v>
      </c>
    </row>
    <row r="217" spans="1:10" ht="53" x14ac:dyDescent="0.2">
      <c r="A217" s="2" t="s">
        <v>422</v>
      </c>
      <c r="B217" s="3">
        <v>1</v>
      </c>
      <c r="C217" s="5">
        <v>14.99</v>
      </c>
      <c r="D217" s="4">
        <v>14.99</v>
      </c>
      <c r="E217" s="3" t="s">
        <v>423</v>
      </c>
      <c r="F217" s="2" t="s">
        <v>12</v>
      </c>
      <c r="G217" s="2" t="s">
        <v>401</v>
      </c>
      <c r="H217" s="2"/>
      <c r="I217" s="2"/>
      <c r="J217" s="6" t="str">
        <f>HYPERLINK("http://slimages.macys.com/is/image/MCY/16685245 ")</f>
        <v xml:space="preserve">http://slimages.macys.com/is/image/MCY/16685245 </v>
      </c>
    </row>
    <row r="218" spans="1:10" ht="53" x14ac:dyDescent="0.2">
      <c r="A218" s="2" t="s">
        <v>404</v>
      </c>
      <c r="B218" s="3">
        <v>4</v>
      </c>
      <c r="C218" s="5">
        <v>14.99</v>
      </c>
      <c r="D218" s="4">
        <v>59.96</v>
      </c>
      <c r="E218" s="3" t="s">
        <v>405</v>
      </c>
      <c r="F218" s="2" t="s">
        <v>32</v>
      </c>
      <c r="G218" s="2" t="s">
        <v>401</v>
      </c>
      <c r="H218" s="2"/>
      <c r="I218" s="2"/>
      <c r="J218" s="6" t="str">
        <f>HYPERLINK("http://slimages.macys.com/is/image/MCY/16685251 ")</f>
        <v xml:space="preserve">http://slimages.macys.com/is/image/MCY/16685251 </v>
      </c>
    </row>
    <row r="219" spans="1:10" ht="53" x14ac:dyDescent="0.2">
      <c r="A219" s="2" t="s">
        <v>412</v>
      </c>
      <c r="B219" s="3">
        <v>11</v>
      </c>
      <c r="C219" s="5">
        <v>14.99</v>
      </c>
      <c r="D219" s="4">
        <v>164.89</v>
      </c>
      <c r="E219" s="3" t="s">
        <v>424</v>
      </c>
      <c r="F219" s="2" t="s">
        <v>32</v>
      </c>
      <c r="G219" s="2" t="s">
        <v>401</v>
      </c>
      <c r="H219" s="2"/>
      <c r="I219" s="2"/>
      <c r="J219" s="6" t="str">
        <f>HYPERLINK("http://slimages.macys.com/is/image/MCY/16685214 ")</f>
        <v xml:space="preserve">http://slimages.macys.com/is/image/MCY/16685214 </v>
      </c>
    </row>
    <row r="220" spans="1:10" ht="53" x14ac:dyDescent="0.2">
      <c r="A220" s="2" t="s">
        <v>399</v>
      </c>
      <c r="B220" s="3">
        <v>6</v>
      </c>
      <c r="C220" s="5">
        <v>14.99</v>
      </c>
      <c r="D220" s="4">
        <v>89.94</v>
      </c>
      <c r="E220" s="3" t="s">
        <v>400</v>
      </c>
      <c r="F220" s="2" t="s">
        <v>32</v>
      </c>
      <c r="G220" s="2" t="s">
        <v>401</v>
      </c>
      <c r="H220" s="2"/>
      <c r="I220" s="2"/>
      <c r="J220" s="6" t="str">
        <f>HYPERLINK("http://slimages.macys.com/is/image/MCY/16685230 ")</f>
        <v xml:space="preserve">http://slimages.macys.com/is/image/MCY/16685230 </v>
      </c>
    </row>
    <row r="221" spans="1:10" ht="53" x14ac:dyDescent="0.2">
      <c r="A221" s="2" t="s">
        <v>425</v>
      </c>
      <c r="B221" s="3">
        <v>5</v>
      </c>
      <c r="C221" s="5">
        <v>14.99</v>
      </c>
      <c r="D221" s="4">
        <v>74.95</v>
      </c>
      <c r="E221" s="3" t="s">
        <v>426</v>
      </c>
      <c r="F221" s="2" t="s">
        <v>281</v>
      </c>
      <c r="G221" s="2" t="s">
        <v>401</v>
      </c>
      <c r="H221" s="2" t="s">
        <v>14</v>
      </c>
      <c r="I221" s="2" t="s">
        <v>78</v>
      </c>
      <c r="J221" s="6" t="str">
        <f>HYPERLINK("http://slimages.macys.com/is/image/MCY/15894373 ")</f>
        <v xml:space="preserve">http://slimages.macys.com/is/image/MCY/15894373 </v>
      </c>
    </row>
    <row r="222" spans="1:10" ht="53" x14ac:dyDescent="0.2">
      <c r="A222" s="2" t="s">
        <v>427</v>
      </c>
      <c r="B222" s="3">
        <v>5</v>
      </c>
      <c r="C222" s="5">
        <v>14.99</v>
      </c>
      <c r="D222" s="4">
        <v>74.95</v>
      </c>
      <c r="E222" s="3" t="s">
        <v>428</v>
      </c>
      <c r="F222" s="2" t="s">
        <v>12</v>
      </c>
      <c r="G222" s="2" t="s">
        <v>401</v>
      </c>
      <c r="H222" s="2" t="s">
        <v>14</v>
      </c>
      <c r="I222" s="2" t="s">
        <v>142</v>
      </c>
      <c r="J222" s="6" t="str">
        <f>HYPERLINK("http://slimages.macys.com/is/image/MCY/15894379 ")</f>
        <v xml:space="preserve">http://slimages.macys.com/is/image/MCY/15894379 </v>
      </c>
    </row>
    <row r="223" spans="1:10" ht="79" x14ac:dyDescent="0.2">
      <c r="A223" s="2" t="s">
        <v>429</v>
      </c>
      <c r="B223" s="3">
        <v>1</v>
      </c>
      <c r="C223" s="5">
        <v>15.99</v>
      </c>
      <c r="D223" s="4">
        <v>15.99</v>
      </c>
      <c r="E223" s="3" t="s">
        <v>430</v>
      </c>
      <c r="F223" s="2" t="s">
        <v>172</v>
      </c>
      <c r="G223" s="2" t="s">
        <v>339</v>
      </c>
      <c r="H223" s="2" t="s">
        <v>14</v>
      </c>
      <c r="I223" s="2" t="s">
        <v>431</v>
      </c>
      <c r="J223" s="6" t="str">
        <f>HYPERLINK("http://slimages.macys.com/is/image/MCY/15721301 ")</f>
        <v xml:space="preserve">http://slimages.macys.com/is/image/MCY/15721301 </v>
      </c>
    </row>
    <row r="224" spans="1:10" ht="53" x14ac:dyDescent="0.2">
      <c r="A224" s="2" t="s">
        <v>432</v>
      </c>
      <c r="B224" s="3">
        <v>3</v>
      </c>
      <c r="C224" s="5">
        <v>13.99</v>
      </c>
      <c r="D224" s="4">
        <v>41.97</v>
      </c>
      <c r="E224" s="3" t="s">
        <v>433</v>
      </c>
      <c r="F224" s="2" t="s">
        <v>69</v>
      </c>
      <c r="G224" s="2" t="s">
        <v>434</v>
      </c>
      <c r="H224" s="2" t="s">
        <v>14</v>
      </c>
      <c r="I224" s="2" t="s">
        <v>435</v>
      </c>
      <c r="J224" s="6" t="str">
        <f>HYPERLINK("http://slimages.macys.com/is/image/MCY/11722375 ")</f>
        <v xml:space="preserve">http://slimages.macys.com/is/image/MCY/11722375 </v>
      </c>
    </row>
    <row r="225" spans="1:10" ht="53" x14ac:dyDescent="0.2">
      <c r="A225" s="2" t="s">
        <v>432</v>
      </c>
      <c r="B225" s="3">
        <v>2</v>
      </c>
      <c r="C225" s="5">
        <v>13.99</v>
      </c>
      <c r="D225" s="4">
        <v>27.98</v>
      </c>
      <c r="E225" s="3" t="s">
        <v>433</v>
      </c>
      <c r="F225" s="2" t="s">
        <v>69</v>
      </c>
      <c r="G225" s="2" t="s">
        <v>434</v>
      </c>
      <c r="H225" s="2" t="s">
        <v>14</v>
      </c>
      <c r="I225" s="2" t="s">
        <v>435</v>
      </c>
      <c r="J225" s="6" t="str">
        <f>HYPERLINK("http://slimages.macys.com/is/image/MCY/11722375 ")</f>
        <v xml:space="preserve">http://slimages.macys.com/is/image/MCY/11722375 </v>
      </c>
    </row>
    <row r="226" spans="1:10" ht="53" x14ac:dyDescent="0.2">
      <c r="A226" s="2" t="s">
        <v>432</v>
      </c>
      <c r="B226" s="3">
        <v>1</v>
      </c>
      <c r="C226" s="5">
        <v>13.99</v>
      </c>
      <c r="D226" s="4">
        <v>13.99</v>
      </c>
      <c r="E226" s="3" t="s">
        <v>433</v>
      </c>
      <c r="F226" s="2" t="s">
        <v>69</v>
      </c>
      <c r="G226" s="2" t="s">
        <v>434</v>
      </c>
      <c r="H226" s="2" t="s">
        <v>14</v>
      </c>
      <c r="I226" s="2" t="s">
        <v>435</v>
      </c>
      <c r="J226" s="6" t="str">
        <f>HYPERLINK("http://slimages.macys.com/is/image/MCY/11722375 ")</f>
        <v xml:space="preserve">http://slimages.macys.com/is/image/MCY/11722375 </v>
      </c>
    </row>
    <row r="227" spans="1:10" ht="53" x14ac:dyDescent="0.2">
      <c r="A227" s="2" t="s">
        <v>436</v>
      </c>
      <c r="B227" s="3">
        <v>1</v>
      </c>
      <c r="C227" s="5">
        <v>14.99</v>
      </c>
      <c r="D227" s="4">
        <v>14.99</v>
      </c>
      <c r="E227" s="3" t="s">
        <v>437</v>
      </c>
      <c r="F227" s="2" t="s">
        <v>29</v>
      </c>
      <c r="G227" s="2" t="s">
        <v>438</v>
      </c>
      <c r="H227" s="2" t="s">
        <v>14</v>
      </c>
      <c r="I227" s="2" t="s">
        <v>142</v>
      </c>
      <c r="J227" s="6" t="str">
        <f>HYPERLINK("http://slimages.macys.com/is/image/MCY/14428550 ")</f>
        <v xml:space="preserve">http://slimages.macys.com/is/image/MCY/14428550 </v>
      </c>
    </row>
    <row r="228" spans="1:10" ht="53" x14ac:dyDescent="0.2">
      <c r="A228" s="2" t="s">
        <v>439</v>
      </c>
      <c r="B228" s="3">
        <v>1</v>
      </c>
      <c r="C228" s="5">
        <v>11.98</v>
      </c>
      <c r="D228" s="4">
        <v>11.98</v>
      </c>
      <c r="E228" s="3" t="s">
        <v>440</v>
      </c>
      <c r="F228" s="2" t="s">
        <v>69</v>
      </c>
      <c r="G228" s="2" t="s">
        <v>202</v>
      </c>
      <c r="H228" s="2" t="s">
        <v>14</v>
      </c>
      <c r="I228" s="2" t="s">
        <v>73</v>
      </c>
      <c r="J228" s="6" t="str">
        <f>HYPERLINK("http://slimages.macys.com/is/image/MCY/1431268 ")</f>
        <v xml:space="preserve">http://slimages.macys.com/is/image/MCY/1431268 </v>
      </c>
    </row>
    <row r="229" spans="1:10" ht="53" x14ac:dyDescent="0.2">
      <c r="A229" s="2" t="s">
        <v>441</v>
      </c>
      <c r="B229" s="3">
        <v>1</v>
      </c>
      <c r="C229" s="5">
        <v>14.98</v>
      </c>
      <c r="D229" s="4">
        <v>14.98</v>
      </c>
      <c r="E229" s="3">
        <v>10006457300</v>
      </c>
      <c r="F229" s="2" t="s">
        <v>122</v>
      </c>
      <c r="G229" s="2" t="s">
        <v>339</v>
      </c>
      <c r="H229" s="2" t="s">
        <v>14</v>
      </c>
      <c r="I229" s="2" t="s">
        <v>78</v>
      </c>
      <c r="J229" s="6" t="str">
        <f>HYPERLINK("http://slimages.macys.com/is/image/MCY/14716037 ")</f>
        <v xml:space="preserve">http://slimages.macys.com/is/image/MCY/14716037 </v>
      </c>
    </row>
    <row r="230" spans="1:10" ht="53" x14ac:dyDescent="0.2">
      <c r="A230" s="2" t="s">
        <v>442</v>
      </c>
      <c r="B230" s="3">
        <v>2</v>
      </c>
      <c r="C230" s="5">
        <v>9.69</v>
      </c>
      <c r="D230" s="4">
        <v>19.38</v>
      </c>
      <c r="E230" s="3">
        <v>17587010</v>
      </c>
      <c r="F230" s="2" t="s">
        <v>32</v>
      </c>
      <c r="G230" s="2" t="s">
        <v>221</v>
      </c>
      <c r="H230" s="2" t="s">
        <v>14</v>
      </c>
      <c r="I230" s="2" t="s">
        <v>443</v>
      </c>
      <c r="J230" s="6" t="str">
        <f>HYPERLINK("http://slimages.macys.com/is/image/MCY/12782019 ")</f>
        <v xml:space="preserve">http://slimages.macys.com/is/image/MCY/12782019 </v>
      </c>
    </row>
    <row r="231" spans="1:10" ht="66" x14ac:dyDescent="0.2">
      <c r="A231" s="2" t="s">
        <v>444</v>
      </c>
      <c r="B231" s="3">
        <v>1</v>
      </c>
      <c r="C231" s="5">
        <v>14.99</v>
      </c>
      <c r="D231" s="4">
        <v>14.99</v>
      </c>
      <c r="E231" s="3" t="s">
        <v>445</v>
      </c>
      <c r="F231" s="2" t="s">
        <v>32</v>
      </c>
      <c r="G231" s="2" t="s">
        <v>446</v>
      </c>
      <c r="H231" s="2" t="s">
        <v>14</v>
      </c>
      <c r="I231" s="2" t="s">
        <v>447</v>
      </c>
      <c r="J231" s="6" t="str">
        <f>HYPERLINK("http://slimages.macys.com/is/image/MCY/15654531 ")</f>
        <v xml:space="preserve">http://slimages.macys.com/is/image/MCY/15654531 </v>
      </c>
    </row>
    <row r="232" spans="1:10" ht="53" x14ac:dyDescent="0.2">
      <c r="A232" s="2" t="s">
        <v>448</v>
      </c>
      <c r="B232" s="3">
        <v>2</v>
      </c>
      <c r="C232" s="5">
        <v>14.98</v>
      </c>
      <c r="D232" s="4">
        <v>29.96</v>
      </c>
      <c r="E232" s="3" t="s">
        <v>449</v>
      </c>
      <c r="F232" s="2" t="s">
        <v>172</v>
      </c>
      <c r="G232" s="2" t="s">
        <v>339</v>
      </c>
      <c r="H232" s="2" t="s">
        <v>14</v>
      </c>
      <c r="I232" s="2" t="s">
        <v>78</v>
      </c>
      <c r="J232" s="6" t="str">
        <f>HYPERLINK("http://slimages.macys.com/is/image/MCY/12646583 ")</f>
        <v xml:space="preserve">http://slimages.macys.com/is/image/MCY/12646583 </v>
      </c>
    </row>
    <row r="233" spans="1:10" ht="53" x14ac:dyDescent="0.2">
      <c r="A233" s="2" t="s">
        <v>450</v>
      </c>
      <c r="B233" s="3">
        <v>1</v>
      </c>
      <c r="C233" s="5">
        <v>16.989999999999998</v>
      </c>
      <c r="D233" s="4">
        <v>16.989999999999998</v>
      </c>
      <c r="E233" s="3" t="s">
        <v>451</v>
      </c>
      <c r="F233" s="2" t="s">
        <v>144</v>
      </c>
      <c r="G233" s="2" t="s">
        <v>266</v>
      </c>
      <c r="H233" s="2" t="s">
        <v>14</v>
      </c>
      <c r="I233" s="2" t="s">
        <v>291</v>
      </c>
      <c r="J233" s="6" t="str">
        <f>HYPERLINK("http://slimages.macys.com/is/image/MCY/15849798 ")</f>
        <v xml:space="preserve">http://slimages.macys.com/is/image/MCY/15849798 </v>
      </c>
    </row>
    <row r="234" spans="1:10" ht="66" x14ac:dyDescent="0.2">
      <c r="A234" s="2" t="s">
        <v>452</v>
      </c>
      <c r="B234" s="3">
        <v>1</v>
      </c>
      <c r="C234" s="5">
        <v>11.98</v>
      </c>
      <c r="D234" s="4">
        <v>11.98</v>
      </c>
      <c r="E234" s="3">
        <v>100027907</v>
      </c>
      <c r="F234" s="2" t="s">
        <v>102</v>
      </c>
      <c r="G234" s="2" t="s">
        <v>339</v>
      </c>
      <c r="H234" s="2" t="s">
        <v>14</v>
      </c>
      <c r="I234" s="2" t="s">
        <v>453</v>
      </c>
      <c r="J234" s="6" t="str">
        <f>HYPERLINK("http://slimages.macys.com/is/image/MCY/9888300 ")</f>
        <v xml:space="preserve">http://slimages.macys.com/is/image/MCY/9888300 </v>
      </c>
    </row>
    <row r="235" spans="1:10" ht="53" x14ac:dyDescent="0.2">
      <c r="A235" s="2" t="s">
        <v>454</v>
      </c>
      <c r="B235" s="3">
        <v>11</v>
      </c>
      <c r="C235" s="5">
        <v>11.98</v>
      </c>
      <c r="D235" s="4">
        <v>131.78</v>
      </c>
      <c r="E235" s="3" t="s">
        <v>455</v>
      </c>
      <c r="F235" s="2" t="s">
        <v>55</v>
      </c>
      <c r="G235" s="2" t="s">
        <v>339</v>
      </c>
      <c r="H235" s="2" t="s">
        <v>14</v>
      </c>
      <c r="I235" s="2" t="s">
        <v>78</v>
      </c>
      <c r="J235" s="6" t="str">
        <f>HYPERLINK("http://slimages.macys.com/is/image/MCY/16383704 ")</f>
        <v xml:space="preserve">http://slimages.macys.com/is/image/MCY/16383704 </v>
      </c>
    </row>
    <row r="236" spans="1:10" ht="53" x14ac:dyDescent="0.2">
      <c r="A236" s="2" t="s">
        <v>456</v>
      </c>
      <c r="B236" s="3">
        <v>1</v>
      </c>
      <c r="C236" s="5">
        <v>10.99</v>
      </c>
      <c r="D236" s="4">
        <v>10.99</v>
      </c>
      <c r="E236" s="3" t="s">
        <v>457</v>
      </c>
      <c r="F236" s="2" t="s">
        <v>40</v>
      </c>
      <c r="G236" s="2" t="s">
        <v>368</v>
      </c>
      <c r="H236" s="2" t="s">
        <v>14</v>
      </c>
      <c r="I236" s="2" t="s">
        <v>96</v>
      </c>
      <c r="J236" s="6" t="str">
        <f>HYPERLINK("http://slimages.macys.com/is/image/MCY/14443564 ")</f>
        <v xml:space="preserve">http://slimages.macys.com/is/image/MCY/14443564 </v>
      </c>
    </row>
    <row r="237" spans="1:10" ht="53" x14ac:dyDescent="0.2">
      <c r="A237" s="2" t="s">
        <v>458</v>
      </c>
      <c r="B237" s="3">
        <v>2</v>
      </c>
      <c r="C237" s="5">
        <v>11.98</v>
      </c>
      <c r="D237" s="4">
        <v>23.96</v>
      </c>
      <c r="E237" s="3">
        <v>100078735</v>
      </c>
      <c r="F237" s="2" t="s">
        <v>69</v>
      </c>
      <c r="G237" s="2" t="s">
        <v>339</v>
      </c>
      <c r="H237" s="2" t="s">
        <v>14</v>
      </c>
      <c r="I237" s="2" t="s">
        <v>78</v>
      </c>
      <c r="J237" s="6" t="str">
        <f>HYPERLINK("http://slimages.macys.com/is/image/MCY/15605198 ")</f>
        <v xml:space="preserve">http://slimages.macys.com/is/image/MCY/15605198 </v>
      </c>
    </row>
    <row r="238" spans="1:10" ht="53" x14ac:dyDescent="0.2">
      <c r="A238" s="2" t="s">
        <v>459</v>
      </c>
      <c r="B238" s="3">
        <v>1</v>
      </c>
      <c r="C238" s="5">
        <v>7.99</v>
      </c>
      <c r="D238" s="4">
        <v>7.99</v>
      </c>
      <c r="E238" s="3" t="s">
        <v>460</v>
      </c>
      <c r="F238" s="2" t="s">
        <v>205</v>
      </c>
      <c r="G238" s="2" t="s">
        <v>461</v>
      </c>
      <c r="H238" s="2" t="s">
        <v>14</v>
      </c>
      <c r="I238" s="2" t="s">
        <v>96</v>
      </c>
      <c r="J238" s="6" t="str">
        <f>HYPERLINK("http://slimages.macys.com/is/image/MCY/16411849 ")</f>
        <v xml:space="preserve">http://slimages.macys.com/is/image/MCY/16411849 </v>
      </c>
    </row>
    <row r="239" spans="1:10" ht="53" x14ac:dyDescent="0.2">
      <c r="A239" s="2" t="s">
        <v>462</v>
      </c>
      <c r="B239" s="3">
        <v>1</v>
      </c>
      <c r="C239" s="5">
        <v>10</v>
      </c>
      <c r="D239" s="4">
        <v>10</v>
      </c>
      <c r="E239" s="3" t="s">
        <v>463</v>
      </c>
      <c r="F239" s="2" t="s">
        <v>12</v>
      </c>
      <c r="G239" s="2" t="s">
        <v>221</v>
      </c>
      <c r="H239" s="2"/>
      <c r="I239" s="2"/>
      <c r="J239" s="6" t="str">
        <f>HYPERLINK("http://slimages.macys.com/is/image/MCY/16665083 ")</f>
        <v xml:space="preserve">http://slimages.macys.com/is/image/MCY/16665083 </v>
      </c>
    </row>
    <row r="240" spans="1:10" ht="53" x14ac:dyDescent="0.2">
      <c r="A240" s="2" t="s">
        <v>464</v>
      </c>
      <c r="B240" s="3">
        <v>1</v>
      </c>
      <c r="C240" s="5">
        <v>10</v>
      </c>
      <c r="D240" s="4">
        <v>10</v>
      </c>
      <c r="E240" s="3" t="s">
        <v>465</v>
      </c>
      <c r="F240" s="2" t="s">
        <v>281</v>
      </c>
      <c r="G240" s="2" t="s">
        <v>221</v>
      </c>
      <c r="H240" s="2" t="s">
        <v>14</v>
      </c>
      <c r="I240" s="2" t="s">
        <v>142</v>
      </c>
      <c r="J240" s="6" t="str">
        <f>HYPERLINK("http://slimages.macys.com/is/image/MCY/16420073 ")</f>
        <v xml:space="preserve">http://slimages.macys.com/is/image/MCY/16420073 </v>
      </c>
    </row>
    <row r="241" spans="1:10" ht="53" x14ac:dyDescent="0.2">
      <c r="A241" s="2" t="s">
        <v>466</v>
      </c>
      <c r="B241" s="3">
        <v>1</v>
      </c>
      <c r="C241" s="5">
        <v>10</v>
      </c>
      <c r="D241" s="4">
        <v>10</v>
      </c>
      <c r="E241" s="3" t="s">
        <v>467</v>
      </c>
      <c r="F241" s="2" t="s">
        <v>92</v>
      </c>
      <c r="G241" s="2" t="s">
        <v>221</v>
      </c>
      <c r="H241" s="2" t="s">
        <v>14</v>
      </c>
      <c r="I241" s="2" t="s">
        <v>142</v>
      </c>
      <c r="J241" s="6" t="str">
        <f>HYPERLINK("http://slimages.macys.com/is/image/MCY/16420078 ")</f>
        <v xml:space="preserve">http://slimages.macys.com/is/image/MCY/16420078 </v>
      </c>
    </row>
    <row r="242" spans="1:10" ht="118" x14ac:dyDescent="0.2">
      <c r="A242" s="2" t="s">
        <v>468</v>
      </c>
      <c r="B242" s="3">
        <v>1</v>
      </c>
      <c r="C242" s="5">
        <v>15.99</v>
      </c>
      <c r="D242" s="4">
        <v>15.99</v>
      </c>
      <c r="E242" s="3" t="s">
        <v>469</v>
      </c>
      <c r="F242" s="2" t="s">
        <v>172</v>
      </c>
      <c r="G242" s="2" t="s">
        <v>339</v>
      </c>
      <c r="H242" s="2" t="s">
        <v>14</v>
      </c>
      <c r="I242" s="2" t="s">
        <v>470</v>
      </c>
      <c r="J242" s="6" t="str">
        <f>HYPERLINK("http://slimages.macys.com/is/image/MCY/14886830 ")</f>
        <v xml:space="preserve">http://slimages.macys.com/is/image/MCY/14886830 </v>
      </c>
    </row>
    <row r="243" spans="1:10" ht="53" x14ac:dyDescent="0.2">
      <c r="A243" s="2" t="s">
        <v>471</v>
      </c>
      <c r="B243" s="3">
        <v>1</v>
      </c>
      <c r="C243" s="5">
        <v>10.99</v>
      </c>
      <c r="D243" s="4">
        <v>10.99</v>
      </c>
      <c r="E243" s="3" t="s">
        <v>472</v>
      </c>
      <c r="F243" s="2" t="s">
        <v>69</v>
      </c>
      <c r="G243" s="2" t="s">
        <v>266</v>
      </c>
      <c r="H243" s="2" t="s">
        <v>14</v>
      </c>
      <c r="I243" s="2" t="s">
        <v>96</v>
      </c>
      <c r="J243" s="6" t="str">
        <f>HYPERLINK("http://slimages.macys.com/is/image/MCY/16341066 ")</f>
        <v xml:space="preserve">http://slimages.macys.com/is/image/MCY/16341066 </v>
      </c>
    </row>
    <row r="244" spans="1:10" ht="53" x14ac:dyDescent="0.2">
      <c r="A244" s="2" t="s">
        <v>473</v>
      </c>
      <c r="B244" s="3">
        <v>1</v>
      </c>
      <c r="C244" s="5">
        <v>9.99</v>
      </c>
      <c r="D244" s="4">
        <v>9.99</v>
      </c>
      <c r="E244" s="3" t="s">
        <v>474</v>
      </c>
      <c r="F244" s="2" t="s">
        <v>55</v>
      </c>
      <c r="G244" s="2" t="s">
        <v>221</v>
      </c>
      <c r="H244" s="2" t="s">
        <v>14</v>
      </c>
      <c r="I244" s="2" t="s">
        <v>115</v>
      </c>
      <c r="J244" s="6" t="str">
        <f>HYPERLINK("http://slimages.macys.com/is/image/MCY/15914802 ")</f>
        <v xml:space="preserve">http://slimages.macys.com/is/image/MCY/15914802 </v>
      </c>
    </row>
    <row r="245" spans="1:10" ht="53" x14ac:dyDescent="0.2">
      <c r="A245" s="2" t="s">
        <v>475</v>
      </c>
      <c r="B245" s="3">
        <v>2</v>
      </c>
      <c r="C245" s="5">
        <v>11.99</v>
      </c>
      <c r="D245" s="4">
        <v>23.98</v>
      </c>
      <c r="E245" s="3">
        <v>64800</v>
      </c>
      <c r="F245" s="2" t="s">
        <v>172</v>
      </c>
      <c r="G245" s="2" t="s">
        <v>476</v>
      </c>
      <c r="H245" s="2" t="s">
        <v>14</v>
      </c>
      <c r="I245" s="2" t="s">
        <v>477</v>
      </c>
      <c r="J245" s="6" t="str">
        <f>HYPERLINK("http://slimages.macys.com/is/image/MCY/16343325 ")</f>
        <v xml:space="preserve">http://slimages.macys.com/is/image/MCY/16343325 </v>
      </c>
    </row>
    <row r="246" spans="1:10" ht="53" x14ac:dyDescent="0.2">
      <c r="A246" s="2" t="s">
        <v>478</v>
      </c>
      <c r="B246" s="3">
        <v>1</v>
      </c>
      <c r="C246" s="5">
        <v>11.99</v>
      </c>
      <c r="D246" s="4">
        <v>11.99</v>
      </c>
      <c r="E246" s="3">
        <v>64778</v>
      </c>
      <c r="F246" s="2" t="s">
        <v>40</v>
      </c>
      <c r="G246" s="2" t="s">
        <v>476</v>
      </c>
      <c r="H246" s="2" t="s">
        <v>14</v>
      </c>
      <c r="I246" s="2" t="s">
        <v>477</v>
      </c>
      <c r="J246" s="6" t="str">
        <f>HYPERLINK("http://slimages.macys.com/is/image/MCY/10324800 ")</f>
        <v xml:space="preserve">http://slimages.macys.com/is/image/MCY/10324800 </v>
      </c>
    </row>
    <row r="247" spans="1:10" ht="53" x14ac:dyDescent="0.2">
      <c r="A247" s="2" t="s">
        <v>478</v>
      </c>
      <c r="B247" s="3">
        <v>1</v>
      </c>
      <c r="C247" s="5">
        <v>11.99</v>
      </c>
      <c r="D247" s="4">
        <v>11.99</v>
      </c>
      <c r="E247" s="3">
        <v>64778</v>
      </c>
      <c r="F247" s="2" t="s">
        <v>40</v>
      </c>
      <c r="G247" s="2" t="s">
        <v>476</v>
      </c>
      <c r="H247" s="2" t="s">
        <v>14</v>
      </c>
      <c r="I247" s="2" t="s">
        <v>477</v>
      </c>
      <c r="J247" s="6" t="str">
        <f>HYPERLINK("http://slimages.macys.com/is/image/MCY/10324800 ")</f>
        <v xml:space="preserve">http://slimages.macys.com/is/image/MCY/10324800 </v>
      </c>
    </row>
    <row r="248" spans="1:10" ht="53" x14ac:dyDescent="0.2">
      <c r="A248" s="2" t="s">
        <v>479</v>
      </c>
      <c r="B248" s="3">
        <v>1</v>
      </c>
      <c r="C248" s="5">
        <v>11.99</v>
      </c>
      <c r="D248" s="4">
        <v>11.99</v>
      </c>
      <c r="E248" s="3">
        <v>64804</v>
      </c>
      <c r="F248" s="2" t="s">
        <v>69</v>
      </c>
      <c r="G248" s="2" t="s">
        <v>476</v>
      </c>
      <c r="H248" s="2" t="s">
        <v>14</v>
      </c>
      <c r="I248" s="2" t="s">
        <v>477</v>
      </c>
      <c r="J248" s="6" t="str">
        <f>HYPERLINK("http://slimages.macys.com/is/image/MCY/16344765 ")</f>
        <v xml:space="preserve">http://slimages.macys.com/is/image/MCY/16344765 </v>
      </c>
    </row>
    <row r="249" spans="1:10" ht="53" x14ac:dyDescent="0.2">
      <c r="A249" s="2" t="s">
        <v>480</v>
      </c>
      <c r="B249" s="3">
        <v>2</v>
      </c>
      <c r="C249" s="5">
        <v>11.99</v>
      </c>
      <c r="D249" s="4">
        <v>23.98</v>
      </c>
      <c r="E249" s="3">
        <v>64802</v>
      </c>
      <c r="F249" s="2" t="s">
        <v>69</v>
      </c>
      <c r="G249" s="2" t="s">
        <v>476</v>
      </c>
      <c r="H249" s="2" t="s">
        <v>14</v>
      </c>
      <c r="I249" s="2" t="s">
        <v>477</v>
      </c>
      <c r="J249" s="6" t="str">
        <f>HYPERLINK("http://slimages.macys.com/is/image/MCY/16343320 ")</f>
        <v xml:space="preserve">http://slimages.macys.com/is/image/MCY/16343320 </v>
      </c>
    </row>
    <row r="250" spans="1:10" ht="53" x14ac:dyDescent="0.2">
      <c r="A250" s="2" t="s">
        <v>481</v>
      </c>
      <c r="B250" s="3">
        <v>1</v>
      </c>
      <c r="C250" s="5">
        <v>12.99</v>
      </c>
      <c r="D250" s="4">
        <v>12.99</v>
      </c>
      <c r="E250" s="3" t="s">
        <v>482</v>
      </c>
      <c r="F250" s="2" t="s">
        <v>483</v>
      </c>
      <c r="G250" s="2" t="s">
        <v>484</v>
      </c>
      <c r="H250" s="2" t="s">
        <v>14</v>
      </c>
      <c r="I250" s="2" t="s">
        <v>96</v>
      </c>
      <c r="J250" s="6" t="str">
        <f>HYPERLINK("http://slimages.macys.com/is/image/MCY/16106551 ")</f>
        <v xml:space="preserve">http://slimages.macys.com/is/image/MCY/16106551 </v>
      </c>
    </row>
    <row r="251" spans="1:10" ht="53" x14ac:dyDescent="0.2">
      <c r="A251" s="2" t="s">
        <v>480</v>
      </c>
      <c r="B251" s="3">
        <v>2</v>
      </c>
      <c r="C251" s="5">
        <v>11.99</v>
      </c>
      <c r="D251" s="4">
        <v>23.98</v>
      </c>
      <c r="E251" s="3">
        <v>64802</v>
      </c>
      <c r="F251" s="2" t="s">
        <v>69</v>
      </c>
      <c r="G251" s="2" t="s">
        <v>476</v>
      </c>
      <c r="H251" s="2" t="s">
        <v>14</v>
      </c>
      <c r="I251" s="2" t="s">
        <v>477</v>
      </c>
      <c r="J251" s="6" t="str">
        <f>HYPERLINK("http://slimages.macys.com/is/image/MCY/16343320 ")</f>
        <v xml:space="preserve">http://slimages.macys.com/is/image/MCY/16343320 </v>
      </c>
    </row>
    <row r="252" spans="1:10" ht="53" x14ac:dyDescent="0.2">
      <c r="A252" s="2" t="s">
        <v>479</v>
      </c>
      <c r="B252" s="3">
        <v>1</v>
      </c>
      <c r="C252" s="5">
        <v>11.99</v>
      </c>
      <c r="D252" s="4">
        <v>11.99</v>
      </c>
      <c r="E252" s="3">
        <v>64804</v>
      </c>
      <c r="F252" s="2" t="s">
        <v>69</v>
      </c>
      <c r="G252" s="2" t="s">
        <v>476</v>
      </c>
      <c r="H252" s="2" t="s">
        <v>14</v>
      </c>
      <c r="I252" s="2" t="s">
        <v>477</v>
      </c>
      <c r="J252" s="6" t="str">
        <f>HYPERLINK("http://slimages.macys.com/is/image/MCY/16344765 ")</f>
        <v xml:space="preserve">http://slimages.macys.com/is/image/MCY/16344765 </v>
      </c>
    </row>
    <row r="253" spans="1:10" ht="53" x14ac:dyDescent="0.2">
      <c r="A253" s="2" t="s">
        <v>480</v>
      </c>
      <c r="B253" s="3">
        <v>4</v>
      </c>
      <c r="C253" s="5">
        <v>11.99</v>
      </c>
      <c r="D253" s="4">
        <v>47.96</v>
      </c>
      <c r="E253" s="3">
        <v>64802</v>
      </c>
      <c r="F253" s="2" t="s">
        <v>69</v>
      </c>
      <c r="G253" s="2" t="s">
        <v>476</v>
      </c>
      <c r="H253" s="2" t="s">
        <v>14</v>
      </c>
      <c r="I253" s="2" t="s">
        <v>477</v>
      </c>
      <c r="J253" s="6" t="str">
        <f>HYPERLINK("http://slimages.macys.com/is/image/MCY/16343320 ")</f>
        <v xml:space="preserve">http://slimages.macys.com/is/image/MCY/16343320 </v>
      </c>
    </row>
    <row r="254" spans="1:10" ht="53" x14ac:dyDescent="0.2">
      <c r="A254" s="2" t="s">
        <v>479</v>
      </c>
      <c r="B254" s="3">
        <v>3</v>
      </c>
      <c r="C254" s="5">
        <v>11.99</v>
      </c>
      <c r="D254" s="4">
        <v>35.97</v>
      </c>
      <c r="E254" s="3">
        <v>64804</v>
      </c>
      <c r="F254" s="2" t="s">
        <v>69</v>
      </c>
      <c r="G254" s="2" t="s">
        <v>476</v>
      </c>
      <c r="H254" s="2" t="s">
        <v>14</v>
      </c>
      <c r="I254" s="2" t="s">
        <v>477</v>
      </c>
      <c r="J254" s="6" t="str">
        <f>HYPERLINK("http://slimages.macys.com/is/image/MCY/16344765 ")</f>
        <v xml:space="preserve">http://slimages.macys.com/is/image/MCY/16344765 </v>
      </c>
    </row>
    <row r="255" spans="1:10" ht="53" x14ac:dyDescent="0.2">
      <c r="A255" s="2" t="s">
        <v>475</v>
      </c>
      <c r="B255" s="3">
        <v>3</v>
      </c>
      <c r="C255" s="5">
        <v>11.99</v>
      </c>
      <c r="D255" s="4">
        <v>35.97</v>
      </c>
      <c r="E255" s="3">
        <v>64800</v>
      </c>
      <c r="F255" s="2" t="s">
        <v>172</v>
      </c>
      <c r="G255" s="2" t="s">
        <v>476</v>
      </c>
      <c r="H255" s="2" t="s">
        <v>14</v>
      </c>
      <c r="I255" s="2" t="s">
        <v>477</v>
      </c>
      <c r="J255" s="6" t="str">
        <f>HYPERLINK("http://slimages.macys.com/is/image/MCY/16343325 ")</f>
        <v xml:space="preserve">http://slimages.macys.com/is/image/MCY/16343325 </v>
      </c>
    </row>
    <row r="256" spans="1:10" ht="53" x14ac:dyDescent="0.2">
      <c r="A256" s="2" t="s">
        <v>479</v>
      </c>
      <c r="B256" s="3">
        <v>3</v>
      </c>
      <c r="C256" s="5">
        <v>11.99</v>
      </c>
      <c r="D256" s="4">
        <v>35.97</v>
      </c>
      <c r="E256" s="3">
        <v>64804</v>
      </c>
      <c r="F256" s="2" t="s">
        <v>69</v>
      </c>
      <c r="G256" s="2" t="s">
        <v>476</v>
      </c>
      <c r="H256" s="2" t="s">
        <v>14</v>
      </c>
      <c r="I256" s="2" t="s">
        <v>477</v>
      </c>
      <c r="J256" s="6" t="str">
        <f>HYPERLINK("http://slimages.macys.com/is/image/MCY/16344765 ")</f>
        <v xml:space="preserve">http://slimages.macys.com/is/image/MCY/16344765 </v>
      </c>
    </row>
    <row r="257" spans="1:10" ht="53" x14ac:dyDescent="0.2">
      <c r="A257" s="2" t="s">
        <v>475</v>
      </c>
      <c r="B257" s="3">
        <v>1</v>
      </c>
      <c r="C257" s="5">
        <v>11.99</v>
      </c>
      <c r="D257" s="4">
        <v>11.99</v>
      </c>
      <c r="E257" s="3">
        <v>64800</v>
      </c>
      <c r="F257" s="2" t="s">
        <v>172</v>
      </c>
      <c r="G257" s="2" t="s">
        <v>476</v>
      </c>
      <c r="H257" s="2" t="s">
        <v>14</v>
      </c>
      <c r="I257" s="2" t="s">
        <v>477</v>
      </c>
      <c r="J257" s="6" t="str">
        <f>HYPERLINK("http://slimages.macys.com/is/image/MCY/16343325 ")</f>
        <v xml:space="preserve">http://slimages.macys.com/is/image/MCY/16343325 </v>
      </c>
    </row>
    <row r="258" spans="1:10" ht="53" x14ac:dyDescent="0.2">
      <c r="A258" s="2" t="s">
        <v>475</v>
      </c>
      <c r="B258" s="3">
        <v>2</v>
      </c>
      <c r="C258" s="5">
        <v>11.99</v>
      </c>
      <c r="D258" s="4">
        <v>23.98</v>
      </c>
      <c r="E258" s="3">
        <v>64800</v>
      </c>
      <c r="F258" s="2" t="s">
        <v>172</v>
      </c>
      <c r="G258" s="2" t="s">
        <v>476</v>
      </c>
      <c r="H258" s="2" t="s">
        <v>14</v>
      </c>
      <c r="I258" s="2" t="s">
        <v>477</v>
      </c>
      <c r="J258" s="6" t="str">
        <f>HYPERLINK("http://slimages.macys.com/is/image/MCY/16343325 ")</f>
        <v xml:space="preserve">http://slimages.macys.com/is/image/MCY/16343325 </v>
      </c>
    </row>
    <row r="259" spans="1:10" ht="53" x14ac:dyDescent="0.2">
      <c r="A259" s="2" t="s">
        <v>475</v>
      </c>
      <c r="B259" s="3">
        <v>2</v>
      </c>
      <c r="C259" s="5">
        <v>11.99</v>
      </c>
      <c r="D259" s="4">
        <v>23.98</v>
      </c>
      <c r="E259" s="3">
        <v>64800</v>
      </c>
      <c r="F259" s="2" t="s">
        <v>172</v>
      </c>
      <c r="G259" s="2" t="s">
        <v>476</v>
      </c>
      <c r="H259" s="2" t="s">
        <v>14</v>
      </c>
      <c r="I259" s="2" t="s">
        <v>477</v>
      </c>
      <c r="J259" s="6" t="str">
        <f>HYPERLINK("http://slimages.macys.com/is/image/MCY/16343325 ")</f>
        <v xml:space="preserve">http://slimages.macys.com/is/image/MCY/16343325 </v>
      </c>
    </row>
    <row r="260" spans="1:10" ht="53" x14ac:dyDescent="0.2">
      <c r="A260" s="2" t="s">
        <v>480</v>
      </c>
      <c r="B260" s="3">
        <v>4</v>
      </c>
      <c r="C260" s="5">
        <v>11.99</v>
      </c>
      <c r="D260" s="4">
        <v>47.96</v>
      </c>
      <c r="E260" s="3">
        <v>64802</v>
      </c>
      <c r="F260" s="2" t="s">
        <v>69</v>
      </c>
      <c r="G260" s="2" t="s">
        <v>476</v>
      </c>
      <c r="H260" s="2" t="s">
        <v>14</v>
      </c>
      <c r="I260" s="2" t="s">
        <v>477</v>
      </c>
      <c r="J260" s="6" t="str">
        <f>HYPERLINK("http://slimages.macys.com/is/image/MCY/16343320 ")</f>
        <v xml:space="preserve">http://slimages.macys.com/is/image/MCY/16343320 </v>
      </c>
    </row>
    <row r="261" spans="1:10" ht="53" x14ac:dyDescent="0.2">
      <c r="A261" s="2" t="s">
        <v>485</v>
      </c>
      <c r="B261" s="3">
        <v>3</v>
      </c>
      <c r="C261" s="5">
        <v>11.99</v>
      </c>
      <c r="D261" s="4">
        <v>35.97</v>
      </c>
      <c r="E261" s="3">
        <v>64801</v>
      </c>
      <c r="F261" s="2" t="s">
        <v>69</v>
      </c>
      <c r="G261" s="2" t="s">
        <v>476</v>
      </c>
      <c r="H261" s="2" t="s">
        <v>14</v>
      </c>
      <c r="I261" s="2" t="s">
        <v>477</v>
      </c>
      <c r="J261" s="6" t="str">
        <f>HYPERLINK("http://slimages.macys.com/is/image/MCY/16344768 ")</f>
        <v xml:space="preserve">http://slimages.macys.com/is/image/MCY/16344768 </v>
      </c>
    </row>
    <row r="262" spans="1:10" ht="53" x14ac:dyDescent="0.2">
      <c r="A262" s="2" t="s">
        <v>485</v>
      </c>
      <c r="B262" s="3">
        <v>4</v>
      </c>
      <c r="C262" s="5">
        <v>11.99</v>
      </c>
      <c r="D262" s="4">
        <v>47.96</v>
      </c>
      <c r="E262" s="3">
        <v>64801</v>
      </c>
      <c r="F262" s="2" t="s">
        <v>69</v>
      </c>
      <c r="G262" s="2" t="s">
        <v>476</v>
      </c>
      <c r="H262" s="2" t="s">
        <v>14</v>
      </c>
      <c r="I262" s="2" t="s">
        <v>477</v>
      </c>
      <c r="J262" s="6" t="str">
        <f>HYPERLINK("http://slimages.macys.com/is/image/MCY/16344768 ")</f>
        <v xml:space="preserve">http://slimages.macys.com/is/image/MCY/16344768 </v>
      </c>
    </row>
    <row r="263" spans="1:10" ht="53" x14ac:dyDescent="0.2">
      <c r="A263" s="2" t="s">
        <v>485</v>
      </c>
      <c r="B263" s="3">
        <v>2</v>
      </c>
      <c r="C263" s="5">
        <v>11.99</v>
      </c>
      <c r="D263" s="4">
        <v>23.98</v>
      </c>
      <c r="E263" s="3">
        <v>64801</v>
      </c>
      <c r="F263" s="2" t="s">
        <v>69</v>
      </c>
      <c r="G263" s="2" t="s">
        <v>476</v>
      </c>
      <c r="H263" s="2" t="s">
        <v>14</v>
      </c>
      <c r="I263" s="2" t="s">
        <v>477</v>
      </c>
      <c r="J263" s="6" t="str">
        <f>HYPERLINK("http://slimages.macys.com/is/image/MCY/16344768 ")</f>
        <v xml:space="preserve">http://slimages.macys.com/is/image/MCY/16344768 </v>
      </c>
    </row>
    <row r="264" spans="1:10" ht="53" x14ac:dyDescent="0.2">
      <c r="A264" s="2" t="s">
        <v>485</v>
      </c>
      <c r="B264" s="3">
        <v>1</v>
      </c>
      <c r="C264" s="5">
        <v>11.99</v>
      </c>
      <c r="D264" s="4">
        <v>11.99</v>
      </c>
      <c r="E264" s="3">
        <v>64801</v>
      </c>
      <c r="F264" s="2" t="s">
        <v>69</v>
      </c>
      <c r="G264" s="2" t="s">
        <v>476</v>
      </c>
      <c r="H264" s="2" t="s">
        <v>14</v>
      </c>
      <c r="I264" s="2" t="s">
        <v>477</v>
      </c>
      <c r="J264" s="6" t="str">
        <f>HYPERLINK("http://slimages.macys.com/is/image/MCY/16344768 ")</f>
        <v xml:space="preserve">http://slimages.macys.com/is/image/MCY/16344768 </v>
      </c>
    </row>
    <row r="265" spans="1:10" ht="53" x14ac:dyDescent="0.2">
      <c r="A265" s="2" t="s">
        <v>485</v>
      </c>
      <c r="B265" s="3">
        <v>2</v>
      </c>
      <c r="C265" s="5">
        <v>11.99</v>
      </c>
      <c r="D265" s="4">
        <v>23.98</v>
      </c>
      <c r="E265" s="3">
        <v>64801</v>
      </c>
      <c r="F265" s="2" t="s">
        <v>69</v>
      </c>
      <c r="G265" s="2" t="s">
        <v>476</v>
      </c>
      <c r="H265" s="2" t="s">
        <v>14</v>
      </c>
      <c r="I265" s="2" t="s">
        <v>477</v>
      </c>
      <c r="J265" s="6" t="str">
        <f>HYPERLINK("http://slimages.macys.com/is/image/MCY/16344768 ")</f>
        <v xml:space="preserve">http://slimages.macys.com/is/image/MCY/16344768 </v>
      </c>
    </row>
    <row r="266" spans="1:10" ht="53" x14ac:dyDescent="0.2">
      <c r="A266" s="2" t="s">
        <v>486</v>
      </c>
      <c r="B266" s="3">
        <v>1</v>
      </c>
      <c r="C266" s="5">
        <v>10.99</v>
      </c>
      <c r="D266" s="4">
        <v>10.99</v>
      </c>
      <c r="E266" s="3" t="s">
        <v>487</v>
      </c>
      <c r="F266" s="2" t="s">
        <v>32</v>
      </c>
      <c r="G266" s="2" t="s">
        <v>266</v>
      </c>
      <c r="H266" s="2" t="s">
        <v>14</v>
      </c>
      <c r="I266" s="2" t="s">
        <v>291</v>
      </c>
      <c r="J266" s="6" t="str">
        <f>HYPERLINK("http://slimages.macys.com/is/image/MCY/16522482 ")</f>
        <v xml:space="preserve">http://slimages.macys.com/is/image/MCY/16522482 </v>
      </c>
    </row>
    <row r="267" spans="1:10" ht="53" x14ac:dyDescent="0.2">
      <c r="A267" s="2" t="s">
        <v>488</v>
      </c>
      <c r="B267" s="3">
        <v>1</v>
      </c>
      <c r="C267" s="5">
        <v>10.99</v>
      </c>
      <c r="D267" s="4">
        <v>10.99</v>
      </c>
      <c r="E267" s="3" t="s">
        <v>489</v>
      </c>
      <c r="F267" s="2" t="s">
        <v>32</v>
      </c>
      <c r="G267" s="2" t="s">
        <v>266</v>
      </c>
      <c r="H267" s="2" t="s">
        <v>14</v>
      </c>
      <c r="I267" s="2" t="s">
        <v>291</v>
      </c>
      <c r="J267" s="6" t="str">
        <f>HYPERLINK("http://slimages.macys.com/is/image/MCY/16340992 ")</f>
        <v xml:space="preserve">http://slimages.macys.com/is/image/MCY/16340992 </v>
      </c>
    </row>
    <row r="268" spans="1:10" ht="53" x14ac:dyDescent="0.2">
      <c r="A268" s="2" t="s">
        <v>490</v>
      </c>
      <c r="B268" s="3">
        <v>2</v>
      </c>
      <c r="C268" s="5">
        <v>11.99</v>
      </c>
      <c r="D268" s="4">
        <v>23.98</v>
      </c>
      <c r="E268" s="3">
        <v>64806</v>
      </c>
      <c r="F268" s="2" t="s">
        <v>69</v>
      </c>
      <c r="G268" s="2" t="s">
        <v>476</v>
      </c>
      <c r="H268" s="2" t="s">
        <v>14</v>
      </c>
      <c r="I268" s="2" t="s">
        <v>477</v>
      </c>
      <c r="J268" s="6" t="str">
        <f>HYPERLINK("http://slimages.macys.com/is/image/MCY/16344766 ")</f>
        <v xml:space="preserve">http://slimages.macys.com/is/image/MCY/16344766 </v>
      </c>
    </row>
    <row r="269" spans="1:10" ht="53" x14ac:dyDescent="0.2">
      <c r="A269" s="2" t="s">
        <v>491</v>
      </c>
      <c r="B269" s="3">
        <v>1</v>
      </c>
      <c r="C269" s="5">
        <v>11.99</v>
      </c>
      <c r="D269" s="4">
        <v>11.99</v>
      </c>
      <c r="E269" s="3">
        <v>64790</v>
      </c>
      <c r="F269" s="2" t="s">
        <v>40</v>
      </c>
      <c r="G269" s="2" t="s">
        <v>476</v>
      </c>
      <c r="H269" s="2" t="s">
        <v>14</v>
      </c>
      <c r="I269" s="2" t="s">
        <v>477</v>
      </c>
      <c r="J269" s="6" t="str">
        <f>HYPERLINK("http://slimages.macys.com/is/image/MCY/14914554 ")</f>
        <v xml:space="preserve">http://slimages.macys.com/is/image/MCY/14914554 </v>
      </c>
    </row>
    <row r="270" spans="1:10" ht="53" x14ac:dyDescent="0.2">
      <c r="A270" s="2" t="s">
        <v>490</v>
      </c>
      <c r="B270" s="3">
        <v>2</v>
      </c>
      <c r="C270" s="5">
        <v>11.99</v>
      </c>
      <c r="D270" s="4">
        <v>23.98</v>
      </c>
      <c r="E270" s="3">
        <v>64806</v>
      </c>
      <c r="F270" s="2" t="s">
        <v>69</v>
      </c>
      <c r="G270" s="2" t="s">
        <v>476</v>
      </c>
      <c r="H270" s="2" t="s">
        <v>14</v>
      </c>
      <c r="I270" s="2" t="s">
        <v>477</v>
      </c>
      <c r="J270" s="6" t="str">
        <f>HYPERLINK("http://slimages.macys.com/is/image/MCY/16344766 ")</f>
        <v xml:space="preserve">http://slimages.macys.com/is/image/MCY/16344766 </v>
      </c>
    </row>
    <row r="271" spans="1:10" ht="53" x14ac:dyDescent="0.2">
      <c r="A271" s="2" t="s">
        <v>490</v>
      </c>
      <c r="B271" s="3">
        <v>1</v>
      </c>
      <c r="C271" s="5">
        <v>11.99</v>
      </c>
      <c r="D271" s="4">
        <v>11.99</v>
      </c>
      <c r="E271" s="3">
        <v>64806</v>
      </c>
      <c r="F271" s="2" t="s">
        <v>69</v>
      </c>
      <c r="G271" s="2" t="s">
        <v>476</v>
      </c>
      <c r="H271" s="2" t="s">
        <v>14</v>
      </c>
      <c r="I271" s="2" t="s">
        <v>477</v>
      </c>
      <c r="J271" s="6" t="str">
        <f>HYPERLINK("http://slimages.macys.com/is/image/MCY/16344766 ")</f>
        <v xml:space="preserve">http://slimages.macys.com/is/image/MCY/16344766 </v>
      </c>
    </row>
    <row r="272" spans="1:10" ht="53" x14ac:dyDescent="0.2">
      <c r="A272" s="2" t="s">
        <v>490</v>
      </c>
      <c r="B272" s="3">
        <v>1</v>
      </c>
      <c r="C272" s="5">
        <v>11.99</v>
      </c>
      <c r="D272" s="4">
        <v>11.99</v>
      </c>
      <c r="E272" s="3">
        <v>64806</v>
      </c>
      <c r="F272" s="2" t="s">
        <v>69</v>
      </c>
      <c r="G272" s="2" t="s">
        <v>476</v>
      </c>
      <c r="H272" s="2" t="s">
        <v>14</v>
      </c>
      <c r="I272" s="2" t="s">
        <v>477</v>
      </c>
      <c r="J272" s="6" t="str">
        <f>HYPERLINK("http://slimages.macys.com/is/image/MCY/16344766 ")</f>
        <v xml:space="preserve">http://slimages.macys.com/is/image/MCY/16344766 </v>
      </c>
    </row>
    <row r="273" spans="1:10" ht="53" x14ac:dyDescent="0.2">
      <c r="A273" s="2" t="s">
        <v>490</v>
      </c>
      <c r="B273" s="3">
        <v>3</v>
      </c>
      <c r="C273" s="5">
        <v>11.99</v>
      </c>
      <c r="D273" s="4">
        <v>35.97</v>
      </c>
      <c r="E273" s="3">
        <v>64806</v>
      </c>
      <c r="F273" s="2" t="s">
        <v>69</v>
      </c>
      <c r="G273" s="2" t="s">
        <v>476</v>
      </c>
      <c r="H273" s="2" t="s">
        <v>14</v>
      </c>
      <c r="I273" s="2" t="s">
        <v>477</v>
      </c>
      <c r="J273" s="6" t="str">
        <f>HYPERLINK("http://slimages.macys.com/is/image/MCY/16344766 ")</f>
        <v xml:space="preserve">http://slimages.macys.com/is/image/MCY/16344766 </v>
      </c>
    </row>
    <row r="274" spans="1:10" ht="53" x14ac:dyDescent="0.2">
      <c r="A274" s="2" t="s">
        <v>492</v>
      </c>
      <c r="B274" s="3">
        <v>3</v>
      </c>
      <c r="C274" s="5">
        <v>10</v>
      </c>
      <c r="D274" s="4">
        <v>30</v>
      </c>
      <c r="E274" s="3" t="s">
        <v>493</v>
      </c>
      <c r="F274" s="2" t="s">
        <v>177</v>
      </c>
      <c r="G274" s="2" t="s">
        <v>221</v>
      </c>
      <c r="H274" s="2"/>
      <c r="I274" s="2"/>
      <c r="J274" s="6" t="str">
        <f>HYPERLINK("http://slimages.macys.com/is/image/MCY/16664537 ")</f>
        <v xml:space="preserve">http://slimages.macys.com/is/image/MCY/16664537 </v>
      </c>
    </row>
    <row r="275" spans="1:10" ht="53" x14ac:dyDescent="0.2">
      <c r="A275" s="2" t="s">
        <v>494</v>
      </c>
      <c r="B275" s="3">
        <v>1</v>
      </c>
      <c r="C275" s="5">
        <v>6.46</v>
      </c>
      <c r="D275" s="4">
        <v>6.46</v>
      </c>
      <c r="E275" s="3">
        <v>18473910</v>
      </c>
      <c r="F275" s="2" t="s">
        <v>50</v>
      </c>
      <c r="G275" s="2" t="s">
        <v>221</v>
      </c>
      <c r="H275" s="2" t="s">
        <v>14</v>
      </c>
      <c r="I275" s="2" t="s">
        <v>115</v>
      </c>
      <c r="J275" s="6" t="str">
        <f>HYPERLINK("http://slimages.macys.com/is/image/MCY/12780136 ")</f>
        <v xml:space="preserve">http://slimages.macys.com/is/image/MCY/12780136 </v>
      </c>
    </row>
    <row r="276" spans="1:10" ht="53" x14ac:dyDescent="0.2">
      <c r="A276" s="2" t="s">
        <v>495</v>
      </c>
      <c r="B276" s="3">
        <v>1</v>
      </c>
      <c r="C276" s="5">
        <v>7.99</v>
      </c>
      <c r="D276" s="4">
        <v>7.99</v>
      </c>
      <c r="E276" s="3" t="s">
        <v>496</v>
      </c>
      <c r="F276" s="2" t="s">
        <v>367</v>
      </c>
      <c r="G276" s="2" t="s">
        <v>339</v>
      </c>
      <c r="H276" s="2" t="s">
        <v>14</v>
      </c>
      <c r="I276" s="2" t="s">
        <v>142</v>
      </c>
      <c r="J276" s="6" t="str">
        <f>HYPERLINK("http://slimages.macys.com/is/image/MCY/16066722 ")</f>
        <v xml:space="preserve">http://slimages.macys.com/is/image/MCY/16066722 </v>
      </c>
    </row>
    <row r="277" spans="1:10" ht="53" x14ac:dyDescent="0.2">
      <c r="A277" s="2" t="s">
        <v>497</v>
      </c>
      <c r="B277" s="3">
        <v>1</v>
      </c>
      <c r="C277" s="5">
        <v>7.99</v>
      </c>
      <c r="D277" s="4">
        <v>7.99</v>
      </c>
      <c r="E277" s="3" t="s">
        <v>498</v>
      </c>
      <c r="F277" s="2" t="s">
        <v>184</v>
      </c>
      <c r="G277" s="2" t="s">
        <v>339</v>
      </c>
      <c r="H277" s="2" t="s">
        <v>14</v>
      </c>
      <c r="I277" s="2" t="s">
        <v>96</v>
      </c>
      <c r="J277" s="6" t="str">
        <f>HYPERLINK("http://slimages.macys.com/is/image/MCY/16065940 ")</f>
        <v xml:space="preserve">http://slimages.macys.com/is/image/MCY/16065940 </v>
      </c>
    </row>
    <row r="278" spans="1:10" ht="53" x14ac:dyDescent="0.2">
      <c r="A278" s="2" t="s">
        <v>499</v>
      </c>
      <c r="B278" s="3">
        <v>1</v>
      </c>
      <c r="C278" s="5">
        <v>7.99</v>
      </c>
      <c r="D278" s="4">
        <v>7.99</v>
      </c>
      <c r="E278" s="3" t="s">
        <v>500</v>
      </c>
      <c r="F278" s="2" t="s">
        <v>23</v>
      </c>
      <c r="G278" s="2" t="s">
        <v>339</v>
      </c>
      <c r="H278" s="2" t="s">
        <v>14</v>
      </c>
      <c r="I278" s="2" t="s">
        <v>96</v>
      </c>
      <c r="J278" s="6" t="str">
        <f>HYPERLINK("http://slimages.macys.com/is/image/MCY/14719293 ")</f>
        <v xml:space="preserve">http://slimages.macys.com/is/image/MCY/14719293 </v>
      </c>
    </row>
    <row r="279" spans="1:10" ht="66" x14ac:dyDescent="0.2">
      <c r="A279" s="2" t="s">
        <v>501</v>
      </c>
      <c r="B279" s="3">
        <v>1</v>
      </c>
      <c r="C279" s="5">
        <v>6.98</v>
      </c>
      <c r="D279" s="4">
        <v>6.98</v>
      </c>
      <c r="E279" s="3">
        <v>100010844</v>
      </c>
      <c r="F279" s="2" t="s">
        <v>172</v>
      </c>
      <c r="G279" s="2" t="s">
        <v>502</v>
      </c>
      <c r="H279" s="2" t="s">
        <v>14</v>
      </c>
      <c r="I279" s="2" t="s">
        <v>503</v>
      </c>
      <c r="J279" s="6" t="str">
        <f>HYPERLINK("http://slimages.macys.com/is/image/MCY/9158404 ")</f>
        <v xml:space="preserve">http://slimages.macys.com/is/image/MCY/9158404 </v>
      </c>
    </row>
    <row r="280" spans="1:10" ht="53" x14ac:dyDescent="0.2">
      <c r="A280" s="2" t="s">
        <v>504</v>
      </c>
      <c r="B280" s="3">
        <v>1</v>
      </c>
      <c r="C280" s="5">
        <v>7.99</v>
      </c>
      <c r="D280" s="4">
        <v>7.99</v>
      </c>
      <c r="E280" s="3">
        <v>681283</v>
      </c>
      <c r="F280" s="2" t="s">
        <v>483</v>
      </c>
      <c r="G280" s="2" t="s">
        <v>505</v>
      </c>
      <c r="H280" s="2" t="s">
        <v>14</v>
      </c>
      <c r="I280" s="2" t="s">
        <v>291</v>
      </c>
      <c r="J280" s="6" t="str">
        <f>HYPERLINK("http://slimages.macys.com/is/image/MCY/15119418 ")</f>
        <v xml:space="preserve">http://slimages.macys.com/is/image/MCY/15119418 </v>
      </c>
    </row>
    <row r="281" spans="1:10" ht="53" x14ac:dyDescent="0.2">
      <c r="A281" s="2" t="s">
        <v>506</v>
      </c>
      <c r="B281" s="3">
        <v>1</v>
      </c>
      <c r="C281" s="5">
        <v>7.99</v>
      </c>
      <c r="D281" s="4">
        <v>7.99</v>
      </c>
      <c r="E281" s="3" t="s">
        <v>507</v>
      </c>
      <c r="F281" s="2" t="s">
        <v>32</v>
      </c>
      <c r="G281" s="2" t="s">
        <v>266</v>
      </c>
      <c r="H281" s="2" t="s">
        <v>14</v>
      </c>
      <c r="I281" s="2" t="s">
        <v>96</v>
      </c>
      <c r="J281" s="6" t="str">
        <f>HYPERLINK("http://slimages.macys.com/is/image/MCY/16610526 ")</f>
        <v xml:space="preserve">http://slimages.macys.com/is/image/MCY/16610526 </v>
      </c>
    </row>
    <row r="282" spans="1:10" ht="53" x14ac:dyDescent="0.2">
      <c r="A282" s="2" t="s">
        <v>508</v>
      </c>
      <c r="B282" s="3">
        <v>2</v>
      </c>
      <c r="C282" s="5">
        <v>7.99</v>
      </c>
      <c r="D282" s="4">
        <v>15.98</v>
      </c>
      <c r="E282" s="3" t="s">
        <v>509</v>
      </c>
      <c r="F282" s="2" t="s">
        <v>32</v>
      </c>
      <c r="G282" s="2" t="s">
        <v>266</v>
      </c>
      <c r="H282" s="2"/>
      <c r="I282" s="2"/>
      <c r="J282" s="6" t="str">
        <f>HYPERLINK("http://slimages.macys.com/is/image/MCY/16490781 ")</f>
        <v xml:space="preserve">http://slimages.macys.com/is/image/MCY/16490781 </v>
      </c>
    </row>
    <row r="283" spans="1:10" ht="53" x14ac:dyDescent="0.2">
      <c r="A283" s="2" t="s">
        <v>510</v>
      </c>
      <c r="B283" s="3">
        <v>2</v>
      </c>
      <c r="C283" s="5">
        <v>7.99</v>
      </c>
      <c r="D283" s="4">
        <v>15.98</v>
      </c>
      <c r="E283" s="3" t="s">
        <v>511</v>
      </c>
      <c r="F283" s="2" t="s">
        <v>69</v>
      </c>
      <c r="G283" s="2" t="s">
        <v>266</v>
      </c>
      <c r="H283" s="2" t="s">
        <v>14</v>
      </c>
      <c r="I283" s="2" t="s">
        <v>96</v>
      </c>
      <c r="J283" s="6" t="str">
        <f>HYPERLINK("http://slimages.macys.com/is/image/MCY/16268350 ")</f>
        <v xml:space="preserve">http://slimages.macys.com/is/image/MCY/16268350 </v>
      </c>
    </row>
    <row r="284" spans="1:10" ht="53" x14ac:dyDescent="0.2">
      <c r="A284" s="2" t="s">
        <v>512</v>
      </c>
      <c r="B284" s="3">
        <v>1</v>
      </c>
      <c r="C284" s="5">
        <v>7.99</v>
      </c>
      <c r="D284" s="4">
        <v>7.99</v>
      </c>
      <c r="E284" s="3" t="s">
        <v>513</v>
      </c>
      <c r="F284" s="2" t="s">
        <v>102</v>
      </c>
      <c r="G284" s="2" t="s">
        <v>266</v>
      </c>
      <c r="H284" s="2" t="s">
        <v>14</v>
      </c>
      <c r="I284" s="2" t="s">
        <v>96</v>
      </c>
      <c r="J284" s="6" t="str">
        <f>HYPERLINK("http://slimages.macys.com/is/image/MCY/16268239 ")</f>
        <v xml:space="preserve">http://slimages.macys.com/is/image/MCY/16268239 </v>
      </c>
    </row>
    <row r="285" spans="1:10" ht="53" x14ac:dyDescent="0.2">
      <c r="A285" s="2" t="s">
        <v>512</v>
      </c>
      <c r="B285" s="3">
        <v>2</v>
      </c>
      <c r="C285" s="5">
        <v>7.99</v>
      </c>
      <c r="D285" s="4">
        <v>15.98</v>
      </c>
      <c r="E285" s="3" t="s">
        <v>513</v>
      </c>
      <c r="F285" s="2" t="s">
        <v>102</v>
      </c>
      <c r="G285" s="2" t="s">
        <v>266</v>
      </c>
      <c r="H285" s="2" t="s">
        <v>14</v>
      </c>
      <c r="I285" s="2" t="s">
        <v>96</v>
      </c>
      <c r="J285" s="6" t="str">
        <f>HYPERLINK("http://slimages.macys.com/is/image/MCY/16268239 ")</f>
        <v xml:space="preserve">http://slimages.macys.com/is/image/MCY/16268239 </v>
      </c>
    </row>
    <row r="286" spans="1:10" ht="53" x14ac:dyDescent="0.2">
      <c r="A286" s="2" t="s">
        <v>508</v>
      </c>
      <c r="B286" s="3">
        <v>1</v>
      </c>
      <c r="C286" s="5">
        <v>7.99</v>
      </c>
      <c r="D286" s="4">
        <v>7.99</v>
      </c>
      <c r="E286" s="3" t="s">
        <v>509</v>
      </c>
      <c r="F286" s="2" t="s">
        <v>32</v>
      </c>
      <c r="G286" s="2" t="s">
        <v>266</v>
      </c>
      <c r="H286" s="2"/>
      <c r="I286" s="2"/>
      <c r="J286" s="6" t="str">
        <f>HYPERLINK("http://slimages.macys.com/is/image/MCY/16490781 ")</f>
        <v xml:space="preserve">http://slimages.macys.com/is/image/MCY/16490781 </v>
      </c>
    </row>
    <row r="287" spans="1:10" ht="53" x14ac:dyDescent="0.2">
      <c r="A287" s="2" t="s">
        <v>514</v>
      </c>
      <c r="B287" s="3">
        <v>2</v>
      </c>
      <c r="C287" s="5">
        <v>7.99</v>
      </c>
      <c r="D287" s="4">
        <v>15.98</v>
      </c>
      <c r="E287" s="3" t="s">
        <v>515</v>
      </c>
      <c r="F287" s="2" t="s">
        <v>32</v>
      </c>
      <c r="G287" s="2" t="s">
        <v>266</v>
      </c>
      <c r="H287" s="2" t="s">
        <v>14</v>
      </c>
      <c r="I287" s="2" t="s">
        <v>96</v>
      </c>
      <c r="J287" s="6" t="str">
        <f>HYPERLINK("http://slimages.macys.com/is/image/MCY/16268305 ")</f>
        <v xml:space="preserve">http://slimages.macys.com/is/image/MCY/16268305 </v>
      </c>
    </row>
    <row r="288" spans="1:10" ht="53" x14ac:dyDescent="0.2">
      <c r="A288" s="2" t="s">
        <v>516</v>
      </c>
      <c r="B288" s="3">
        <v>1</v>
      </c>
      <c r="C288" s="5">
        <v>7.99</v>
      </c>
      <c r="D288" s="4">
        <v>7.99</v>
      </c>
      <c r="E288" s="3" t="s">
        <v>517</v>
      </c>
      <c r="F288" s="2" t="s">
        <v>69</v>
      </c>
      <c r="G288" s="2" t="s">
        <v>266</v>
      </c>
      <c r="H288" s="2"/>
      <c r="I288" s="2"/>
      <c r="J288" s="6" t="str">
        <f>HYPERLINK("http://slimages.macys.com/is/image/MCY/16489854 ")</f>
        <v xml:space="preserve">http://slimages.macys.com/is/image/MCY/16489854 </v>
      </c>
    </row>
    <row r="289" spans="1:10" ht="53" x14ac:dyDescent="0.2">
      <c r="A289" s="2" t="s">
        <v>518</v>
      </c>
      <c r="B289" s="3">
        <v>1</v>
      </c>
      <c r="C289" s="5">
        <v>7.99</v>
      </c>
      <c r="D289" s="4">
        <v>7.99</v>
      </c>
      <c r="E289" s="3" t="s">
        <v>519</v>
      </c>
      <c r="F289" s="2" t="s">
        <v>32</v>
      </c>
      <c r="G289" s="2" t="s">
        <v>266</v>
      </c>
      <c r="H289" s="2"/>
      <c r="I289" s="2"/>
      <c r="J289" s="6" t="str">
        <f>HYPERLINK("http://slimages.macys.com/is/image/MCY/16835098 ")</f>
        <v xml:space="preserve">http://slimages.macys.com/is/image/MCY/16835098 </v>
      </c>
    </row>
    <row r="290" spans="1:10" ht="53" x14ac:dyDescent="0.2">
      <c r="A290" s="2" t="s">
        <v>520</v>
      </c>
      <c r="B290" s="3">
        <v>1</v>
      </c>
      <c r="C290" s="5">
        <v>7.99</v>
      </c>
      <c r="D290" s="4">
        <v>7.99</v>
      </c>
      <c r="E290" s="3" t="s">
        <v>521</v>
      </c>
      <c r="F290" s="2" t="s">
        <v>69</v>
      </c>
      <c r="G290" s="2" t="s">
        <v>266</v>
      </c>
      <c r="H290" s="2" t="s">
        <v>14</v>
      </c>
      <c r="I290" s="2" t="s">
        <v>96</v>
      </c>
      <c r="J290" s="6" t="str">
        <f>HYPERLINK("http://slimages.macys.com/is/image/MCY/16268185 ")</f>
        <v xml:space="preserve">http://slimages.macys.com/is/image/MCY/16268185 </v>
      </c>
    </row>
    <row r="291" spans="1:10" ht="53" x14ac:dyDescent="0.2">
      <c r="A291" s="2" t="s">
        <v>522</v>
      </c>
      <c r="B291" s="3">
        <v>2</v>
      </c>
      <c r="C291" s="5">
        <v>7.99</v>
      </c>
      <c r="D291" s="4">
        <v>15.98</v>
      </c>
      <c r="E291" s="3" t="s">
        <v>523</v>
      </c>
      <c r="F291" s="2" t="s">
        <v>32</v>
      </c>
      <c r="G291" s="2" t="s">
        <v>266</v>
      </c>
      <c r="H291" s="2" t="s">
        <v>14</v>
      </c>
      <c r="I291" s="2" t="s">
        <v>96</v>
      </c>
      <c r="J291" s="6" t="str">
        <f>HYPERLINK("http://slimages.macys.com/is/image/MCY/16489856 ")</f>
        <v xml:space="preserve">http://slimages.macys.com/is/image/MCY/16489856 </v>
      </c>
    </row>
    <row r="292" spans="1:10" ht="53" x14ac:dyDescent="0.2">
      <c r="A292" s="2" t="s">
        <v>520</v>
      </c>
      <c r="B292" s="3">
        <v>1</v>
      </c>
      <c r="C292" s="5">
        <v>7.99</v>
      </c>
      <c r="D292" s="4">
        <v>7.99</v>
      </c>
      <c r="E292" s="3" t="s">
        <v>521</v>
      </c>
      <c r="F292" s="2" t="s">
        <v>69</v>
      </c>
      <c r="G292" s="2" t="s">
        <v>266</v>
      </c>
      <c r="H292" s="2" t="s">
        <v>14</v>
      </c>
      <c r="I292" s="2" t="s">
        <v>96</v>
      </c>
      <c r="J292" s="6" t="str">
        <f>HYPERLINK("http://slimages.macys.com/is/image/MCY/16268185 ")</f>
        <v xml:space="preserve">http://slimages.macys.com/is/image/MCY/16268185 </v>
      </c>
    </row>
    <row r="293" spans="1:10" ht="53" x14ac:dyDescent="0.2">
      <c r="A293" s="2" t="s">
        <v>524</v>
      </c>
      <c r="B293" s="3">
        <v>1</v>
      </c>
      <c r="C293" s="5">
        <v>7.99</v>
      </c>
      <c r="D293" s="4">
        <v>7.99</v>
      </c>
      <c r="E293" s="3" t="s">
        <v>525</v>
      </c>
      <c r="F293" s="2" t="s">
        <v>32</v>
      </c>
      <c r="G293" s="2" t="s">
        <v>266</v>
      </c>
      <c r="H293" s="2"/>
      <c r="I293" s="2"/>
      <c r="J293" s="6" t="str">
        <f>HYPERLINK("http://slimages.macys.com/is/image/MCY/16490509 ")</f>
        <v xml:space="preserve">http://slimages.macys.com/is/image/MCY/16490509 </v>
      </c>
    </row>
    <row r="294" spans="1:10" ht="53" x14ac:dyDescent="0.2">
      <c r="A294" s="2" t="s">
        <v>524</v>
      </c>
      <c r="B294" s="3">
        <v>1</v>
      </c>
      <c r="C294" s="5">
        <v>7.99</v>
      </c>
      <c r="D294" s="4">
        <v>7.99</v>
      </c>
      <c r="E294" s="3" t="s">
        <v>525</v>
      </c>
      <c r="F294" s="2" t="s">
        <v>32</v>
      </c>
      <c r="G294" s="2" t="s">
        <v>266</v>
      </c>
      <c r="H294" s="2"/>
      <c r="I294" s="2"/>
      <c r="J294" s="6" t="str">
        <f>HYPERLINK("http://slimages.macys.com/is/image/MCY/16490509 ")</f>
        <v xml:space="preserve">http://slimages.macys.com/is/image/MCY/16490509 </v>
      </c>
    </row>
    <row r="295" spans="1:10" ht="53" x14ac:dyDescent="0.2">
      <c r="A295" s="2" t="s">
        <v>514</v>
      </c>
      <c r="B295" s="3">
        <v>1</v>
      </c>
      <c r="C295" s="5">
        <v>7.99</v>
      </c>
      <c r="D295" s="4">
        <v>7.99</v>
      </c>
      <c r="E295" s="3" t="s">
        <v>515</v>
      </c>
      <c r="F295" s="2" t="s">
        <v>32</v>
      </c>
      <c r="G295" s="2" t="s">
        <v>266</v>
      </c>
      <c r="H295" s="2" t="s">
        <v>14</v>
      </c>
      <c r="I295" s="2" t="s">
        <v>96</v>
      </c>
      <c r="J295" s="6" t="str">
        <f>HYPERLINK("http://slimages.macys.com/is/image/MCY/16268305 ")</f>
        <v xml:space="preserve">http://slimages.macys.com/is/image/MCY/16268305 </v>
      </c>
    </row>
    <row r="296" spans="1:10" ht="53" x14ac:dyDescent="0.2">
      <c r="A296" s="2" t="s">
        <v>518</v>
      </c>
      <c r="B296" s="3">
        <v>1</v>
      </c>
      <c r="C296" s="5">
        <v>7.99</v>
      </c>
      <c r="D296" s="4">
        <v>7.99</v>
      </c>
      <c r="E296" s="3" t="s">
        <v>519</v>
      </c>
      <c r="F296" s="2" t="s">
        <v>32</v>
      </c>
      <c r="G296" s="2" t="s">
        <v>266</v>
      </c>
      <c r="H296" s="2"/>
      <c r="I296" s="2"/>
      <c r="J296" s="6" t="str">
        <f>HYPERLINK("http://slimages.macys.com/is/image/MCY/16489842 ")</f>
        <v xml:space="preserve">http://slimages.macys.com/is/image/MCY/16489842 </v>
      </c>
    </row>
    <row r="297" spans="1:10" ht="53" x14ac:dyDescent="0.2">
      <c r="A297" s="2" t="s">
        <v>526</v>
      </c>
      <c r="B297" s="3">
        <v>1</v>
      </c>
      <c r="C297" s="5">
        <v>7.99</v>
      </c>
      <c r="D297" s="4">
        <v>7.99</v>
      </c>
      <c r="E297" s="3" t="s">
        <v>527</v>
      </c>
      <c r="F297" s="2" t="s">
        <v>69</v>
      </c>
      <c r="G297" s="2" t="s">
        <v>266</v>
      </c>
      <c r="H297" s="2"/>
      <c r="I297" s="2"/>
      <c r="J297" s="6" t="str">
        <f>HYPERLINK("http://slimages.macys.com/is/image/MCY/16490797 ")</f>
        <v xml:space="preserve">http://slimages.macys.com/is/image/MCY/16490797 </v>
      </c>
    </row>
    <row r="298" spans="1:10" ht="53" x14ac:dyDescent="0.2">
      <c r="A298" s="2" t="s">
        <v>528</v>
      </c>
      <c r="B298" s="3">
        <v>1</v>
      </c>
      <c r="C298" s="5">
        <v>7.99</v>
      </c>
      <c r="D298" s="4">
        <v>7.99</v>
      </c>
      <c r="E298" s="3" t="s">
        <v>529</v>
      </c>
      <c r="F298" s="2" t="s">
        <v>69</v>
      </c>
      <c r="G298" s="2" t="s">
        <v>266</v>
      </c>
      <c r="H298" s="2"/>
      <c r="I298" s="2"/>
      <c r="J298" s="6" t="str">
        <f>HYPERLINK("http://slimages.macys.com/is/image/MCY/16490775 ")</f>
        <v xml:space="preserve">http://slimages.macys.com/is/image/MCY/16490775 </v>
      </c>
    </row>
    <row r="299" spans="1:10" ht="53" x14ac:dyDescent="0.2">
      <c r="A299" s="2" t="s">
        <v>524</v>
      </c>
      <c r="B299" s="3">
        <v>1</v>
      </c>
      <c r="C299" s="5">
        <v>7.99</v>
      </c>
      <c r="D299" s="4">
        <v>7.99</v>
      </c>
      <c r="E299" s="3" t="s">
        <v>525</v>
      </c>
      <c r="F299" s="2" t="s">
        <v>32</v>
      </c>
      <c r="G299" s="2" t="s">
        <v>266</v>
      </c>
      <c r="H299" s="2"/>
      <c r="I299" s="2"/>
      <c r="J299" s="6" t="str">
        <f>HYPERLINK("http://slimages.macys.com/is/image/MCY/16490509 ")</f>
        <v xml:space="preserve">http://slimages.macys.com/is/image/MCY/16490509 </v>
      </c>
    </row>
    <row r="300" spans="1:10" ht="53" x14ac:dyDescent="0.2">
      <c r="A300" s="2" t="s">
        <v>530</v>
      </c>
      <c r="B300" s="3">
        <v>1</v>
      </c>
      <c r="C300" s="5">
        <v>7.99</v>
      </c>
      <c r="D300" s="4">
        <v>7.99</v>
      </c>
      <c r="E300" s="3" t="s">
        <v>531</v>
      </c>
      <c r="F300" s="2" t="s">
        <v>32</v>
      </c>
      <c r="G300" s="2" t="s">
        <v>266</v>
      </c>
      <c r="H300" s="2" t="s">
        <v>14</v>
      </c>
      <c r="I300" s="2" t="s">
        <v>96</v>
      </c>
      <c r="J300" s="6" t="str">
        <f>HYPERLINK("http://slimages.macys.com/is/image/MCY/16267698 ")</f>
        <v xml:space="preserve">http://slimages.macys.com/is/image/MCY/16267698 </v>
      </c>
    </row>
    <row r="301" spans="1:10" ht="53" x14ac:dyDescent="0.2">
      <c r="A301" s="2" t="s">
        <v>532</v>
      </c>
      <c r="B301" s="3">
        <v>1</v>
      </c>
      <c r="C301" s="5">
        <v>7.99</v>
      </c>
      <c r="D301" s="4">
        <v>7.99</v>
      </c>
      <c r="E301" s="3" t="s">
        <v>533</v>
      </c>
      <c r="F301" s="2" t="s">
        <v>32</v>
      </c>
      <c r="G301" s="2" t="s">
        <v>266</v>
      </c>
      <c r="H301" s="2" t="s">
        <v>14</v>
      </c>
      <c r="I301" s="2" t="s">
        <v>96</v>
      </c>
      <c r="J301" s="6" t="str">
        <f>HYPERLINK("http://slimages.macys.com/is/image/MCY/15967344 ")</f>
        <v xml:space="preserve">http://slimages.macys.com/is/image/MCY/15967344 </v>
      </c>
    </row>
    <row r="302" spans="1:10" ht="53" x14ac:dyDescent="0.2">
      <c r="A302" s="2" t="s">
        <v>534</v>
      </c>
      <c r="B302" s="3">
        <v>1</v>
      </c>
      <c r="C302" s="5">
        <v>7.99</v>
      </c>
      <c r="D302" s="4">
        <v>7.99</v>
      </c>
      <c r="E302" s="3" t="s">
        <v>535</v>
      </c>
      <c r="F302" s="2" t="s">
        <v>32</v>
      </c>
      <c r="G302" s="2" t="s">
        <v>266</v>
      </c>
      <c r="H302" s="2" t="s">
        <v>14</v>
      </c>
      <c r="I302" s="2" t="s">
        <v>96</v>
      </c>
      <c r="J302" s="6" t="str">
        <f>HYPERLINK("http://slimages.macys.com/is/image/MCY/16268241 ")</f>
        <v xml:space="preserve">http://slimages.macys.com/is/image/MCY/16268241 </v>
      </c>
    </row>
    <row r="303" spans="1:10" ht="53" x14ac:dyDescent="0.2">
      <c r="A303" s="2" t="s">
        <v>536</v>
      </c>
      <c r="B303" s="3">
        <v>1</v>
      </c>
      <c r="C303" s="5">
        <v>7.99</v>
      </c>
      <c r="D303" s="4">
        <v>7.99</v>
      </c>
      <c r="E303" s="3" t="s">
        <v>537</v>
      </c>
      <c r="F303" s="2" t="s">
        <v>69</v>
      </c>
      <c r="G303" s="2" t="s">
        <v>266</v>
      </c>
      <c r="H303" s="2" t="s">
        <v>14</v>
      </c>
      <c r="I303" s="2" t="s">
        <v>96</v>
      </c>
      <c r="J303" s="6" t="str">
        <f>HYPERLINK("http://slimages.macys.com/is/image/MCY/16268270 ")</f>
        <v xml:space="preserve">http://slimages.macys.com/is/image/MCY/16268270 </v>
      </c>
    </row>
    <row r="304" spans="1:10" ht="53" x14ac:dyDescent="0.2">
      <c r="A304" s="2" t="s">
        <v>536</v>
      </c>
      <c r="B304" s="3">
        <v>1</v>
      </c>
      <c r="C304" s="5">
        <v>7.99</v>
      </c>
      <c r="D304" s="4">
        <v>7.99</v>
      </c>
      <c r="E304" s="3" t="s">
        <v>537</v>
      </c>
      <c r="F304" s="2" t="s">
        <v>69</v>
      </c>
      <c r="G304" s="2" t="s">
        <v>266</v>
      </c>
      <c r="H304" s="2" t="s">
        <v>14</v>
      </c>
      <c r="I304" s="2" t="s">
        <v>96</v>
      </c>
      <c r="J304" s="6" t="str">
        <f>HYPERLINK("http://slimages.macys.com/is/image/MCY/16268270 ")</f>
        <v xml:space="preserve">http://slimages.macys.com/is/image/MCY/16268270 </v>
      </c>
    </row>
    <row r="305" spans="1:10" ht="53" x14ac:dyDescent="0.2">
      <c r="A305" s="2" t="s">
        <v>524</v>
      </c>
      <c r="B305" s="3">
        <v>1</v>
      </c>
      <c r="C305" s="5">
        <v>7.99</v>
      </c>
      <c r="D305" s="4">
        <v>7.99</v>
      </c>
      <c r="E305" s="3" t="s">
        <v>525</v>
      </c>
      <c r="F305" s="2" t="s">
        <v>32</v>
      </c>
      <c r="G305" s="2" t="s">
        <v>266</v>
      </c>
      <c r="H305" s="2"/>
      <c r="I305" s="2"/>
      <c r="J305" s="6" t="str">
        <f>HYPERLINK("http://slimages.macys.com/is/image/MCY/16490509 ")</f>
        <v xml:space="preserve">http://slimages.macys.com/is/image/MCY/16490509 </v>
      </c>
    </row>
    <row r="306" spans="1:10" ht="53" x14ac:dyDescent="0.2">
      <c r="A306" s="2" t="s">
        <v>536</v>
      </c>
      <c r="B306" s="3">
        <v>3</v>
      </c>
      <c r="C306" s="5">
        <v>7.99</v>
      </c>
      <c r="D306" s="4">
        <v>23.97</v>
      </c>
      <c r="E306" s="3" t="s">
        <v>537</v>
      </c>
      <c r="F306" s="2" t="s">
        <v>69</v>
      </c>
      <c r="G306" s="2" t="s">
        <v>266</v>
      </c>
      <c r="H306" s="2" t="s">
        <v>14</v>
      </c>
      <c r="I306" s="2" t="s">
        <v>96</v>
      </c>
      <c r="J306" s="6" t="str">
        <f>HYPERLINK("http://slimages.macys.com/is/image/MCY/16268270 ")</f>
        <v xml:space="preserve">http://slimages.macys.com/is/image/MCY/16268270 </v>
      </c>
    </row>
    <row r="307" spans="1:10" ht="53" x14ac:dyDescent="0.2">
      <c r="A307" s="2" t="s">
        <v>514</v>
      </c>
      <c r="B307" s="3">
        <v>1</v>
      </c>
      <c r="C307" s="5">
        <v>7.99</v>
      </c>
      <c r="D307" s="4">
        <v>7.99</v>
      </c>
      <c r="E307" s="3" t="s">
        <v>515</v>
      </c>
      <c r="F307" s="2" t="s">
        <v>32</v>
      </c>
      <c r="G307" s="2" t="s">
        <v>266</v>
      </c>
      <c r="H307" s="2" t="s">
        <v>14</v>
      </c>
      <c r="I307" s="2" t="s">
        <v>96</v>
      </c>
      <c r="J307" s="6" t="str">
        <f>HYPERLINK("http://slimages.macys.com/is/image/MCY/16268305 ")</f>
        <v xml:space="preserve">http://slimages.macys.com/is/image/MCY/16268305 </v>
      </c>
    </row>
    <row r="308" spans="1:10" ht="53" x14ac:dyDescent="0.2">
      <c r="A308" s="2" t="s">
        <v>518</v>
      </c>
      <c r="B308" s="3">
        <v>2</v>
      </c>
      <c r="C308" s="5">
        <v>7.99</v>
      </c>
      <c r="D308" s="4">
        <v>15.98</v>
      </c>
      <c r="E308" s="3" t="s">
        <v>519</v>
      </c>
      <c r="F308" s="2" t="s">
        <v>32</v>
      </c>
      <c r="G308" s="2" t="s">
        <v>266</v>
      </c>
      <c r="H308" s="2"/>
      <c r="I308" s="2"/>
      <c r="J308" s="6" t="str">
        <f>HYPERLINK("http://slimages.macys.com/is/image/MCY/16489842 ")</f>
        <v xml:space="preserve">http://slimages.macys.com/is/image/MCY/16489842 </v>
      </c>
    </row>
    <row r="309" spans="1:10" ht="53" x14ac:dyDescent="0.2">
      <c r="A309" s="2" t="s">
        <v>530</v>
      </c>
      <c r="B309" s="3">
        <v>1</v>
      </c>
      <c r="C309" s="5">
        <v>7.99</v>
      </c>
      <c r="D309" s="4">
        <v>7.99</v>
      </c>
      <c r="E309" s="3" t="s">
        <v>531</v>
      </c>
      <c r="F309" s="2" t="s">
        <v>32</v>
      </c>
      <c r="G309" s="2" t="s">
        <v>266</v>
      </c>
      <c r="H309" s="2" t="s">
        <v>14</v>
      </c>
      <c r="I309" s="2" t="s">
        <v>96</v>
      </c>
      <c r="J309" s="6" t="str">
        <f>HYPERLINK("http://slimages.macys.com/is/image/MCY/16267698 ")</f>
        <v xml:space="preserve">http://slimages.macys.com/is/image/MCY/16267698 </v>
      </c>
    </row>
    <row r="310" spans="1:10" ht="53" x14ac:dyDescent="0.2">
      <c r="A310" s="2" t="s">
        <v>522</v>
      </c>
      <c r="B310" s="3">
        <v>1</v>
      </c>
      <c r="C310" s="5">
        <v>7.99</v>
      </c>
      <c r="D310" s="4">
        <v>7.99</v>
      </c>
      <c r="E310" s="3" t="s">
        <v>523</v>
      </c>
      <c r="F310" s="2" t="s">
        <v>32</v>
      </c>
      <c r="G310" s="2" t="s">
        <v>266</v>
      </c>
      <c r="H310" s="2"/>
      <c r="I310" s="2"/>
      <c r="J310" s="6" t="str">
        <f>HYPERLINK("http://slimages.macys.com/is/image/MCY/16489856 ")</f>
        <v xml:space="preserve">http://slimages.macys.com/is/image/MCY/16489856 </v>
      </c>
    </row>
    <row r="311" spans="1:10" ht="53" x14ac:dyDescent="0.2">
      <c r="A311" s="2" t="s">
        <v>530</v>
      </c>
      <c r="B311" s="3">
        <v>2</v>
      </c>
      <c r="C311" s="5">
        <v>7.99</v>
      </c>
      <c r="D311" s="4">
        <v>15.98</v>
      </c>
      <c r="E311" s="3" t="s">
        <v>531</v>
      </c>
      <c r="F311" s="2" t="s">
        <v>32</v>
      </c>
      <c r="G311" s="2" t="s">
        <v>266</v>
      </c>
      <c r="H311" s="2" t="s">
        <v>14</v>
      </c>
      <c r="I311" s="2" t="s">
        <v>96</v>
      </c>
      <c r="J311" s="6" t="str">
        <f>HYPERLINK("http://slimages.macys.com/is/image/MCY/16267698 ")</f>
        <v xml:space="preserve">http://slimages.macys.com/is/image/MCY/16267698 </v>
      </c>
    </row>
    <row r="312" spans="1:10" ht="53" x14ac:dyDescent="0.2">
      <c r="A312" s="2" t="s">
        <v>538</v>
      </c>
      <c r="B312" s="3">
        <v>2</v>
      </c>
      <c r="C312" s="5">
        <v>7.99</v>
      </c>
      <c r="D312" s="4">
        <v>15.98</v>
      </c>
      <c r="E312" s="3" t="s">
        <v>539</v>
      </c>
      <c r="F312" s="2" t="s">
        <v>12</v>
      </c>
      <c r="G312" s="2" t="s">
        <v>540</v>
      </c>
      <c r="H312" s="2" t="s">
        <v>14</v>
      </c>
      <c r="I312" s="2" t="s">
        <v>291</v>
      </c>
      <c r="J312" s="6" t="str">
        <f>HYPERLINK("http://slimages.macys.com/is/image/MCY/14914806 ")</f>
        <v xml:space="preserve">http://slimages.macys.com/is/image/MCY/14914806 </v>
      </c>
    </row>
    <row r="313" spans="1:10" ht="53" x14ac:dyDescent="0.2">
      <c r="A313" s="2" t="s">
        <v>541</v>
      </c>
      <c r="B313" s="3">
        <v>1</v>
      </c>
      <c r="C313" s="5">
        <v>7.99</v>
      </c>
      <c r="D313" s="4">
        <v>7.99</v>
      </c>
      <c r="E313" s="3" t="s">
        <v>542</v>
      </c>
      <c r="F313" s="2" t="s">
        <v>69</v>
      </c>
      <c r="G313" s="2" t="s">
        <v>339</v>
      </c>
      <c r="H313" s="2" t="s">
        <v>14</v>
      </c>
      <c r="I313" s="2" t="s">
        <v>237</v>
      </c>
      <c r="J313" s="6" t="str">
        <f>HYPERLINK("http://slimages.macys.com/is/image/MCY/16392720 ")</f>
        <v xml:space="preserve">http://slimages.macys.com/is/image/MCY/16392720 </v>
      </c>
    </row>
    <row r="314" spans="1:10" ht="53" x14ac:dyDescent="0.2">
      <c r="A314" s="2" t="s">
        <v>543</v>
      </c>
      <c r="B314" s="3">
        <v>1</v>
      </c>
      <c r="C314" s="5">
        <v>8.99</v>
      </c>
      <c r="D314" s="4">
        <v>8.99</v>
      </c>
      <c r="E314" s="3">
        <v>10006318200</v>
      </c>
      <c r="F314" s="2" t="s">
        <v>172</v>
      </c>
      <c r="G314" s="2" t="s">
        <v>339</v>
      </c>
      <c r="H314" s="2" t="s">
        <v>14</v>
      </c>
      <c r="I314" s="2" t="s">
        <v>78</v>
      </c>
      <c r="J314" s="6" t="str">
        <f>HYPERLINK("http://slimages.macys.com/is/image/MCY/13336277 ")</f>
        <v xml:space="preserve">http://slimages.macys.com/is/image/MCY/13336277 </v>
      </c>
    </row>
    <row r="315" spans="1:10" ht="53" x14ac:dyDescent="0.2">
      <c r="A315" s="2" t="s">
        <v>544</v>
      </c>
      <c r="B315" s="3">
        <v>2</v>
      </c>
      <c r="C315" s="5">
        <v>5.99</v>
      </c>
      <c r="D315" s="4">
        <v>11.98</v>
      </c>
      <c r="E315" s="3" t="s">
        <v>545</v>
      </c>
      <c r="F315" s="2" t="s">
        <v>50</v>
      </c>
      <c r="G315" s="2" t="s">
        <v>339</v>
      </c>
      <c r="H315" s="2" t="s">
        <v>14</v>
      </c>
      <c r="I315" s="2" t="s">
        <v>115</v>
      </c>
      <c r="J315" s="6" t="str">
        <f>HYPERLINK("http://slimages.macys.com/is/image/MCY/16095104 ")</f>
        <v xml:space="preserve">http://slimages.macys.com/is/image/MCY/16095104 </v>
      </c>
    </row>
    <row r="316" spans="1:10" ht="53" x14ac:dyDescent="0.2">
      <c r="A316" s="2" t="s">
        <v>546</v>
      </c>
      <c r="B316" s="3">
        <v>1</v>
      </c>
      <c r="C316" s="5">
        <v>6.99</v>
      </c>
      <c r="D316" s="4">
        <v>6.99</v>
      </c>
      <c r="E316" s="3" t="s">
        <v>547</v>
      </c>
      <c r="F316" s="2" t="s">
        <v>55</v>
      </c>
      <c r="G316" s="2" t="s">
        <v>339</v>
      </c>
      <c r="H316" s="2" t="s">
        <v>14</v>
      </c>
      <c r="I316" s="2" t="s">
        <v>96</v>
      </c>
      <c r="J316" s="6" t="str">
        <f>HYPERLINK("http://slimages.macys.com/is/image/MCY/14448427 ")</f>
        <v xml:space="preserve">http://slimages.macys.com/is/image/MCY/14448427 </v>
      </c>
    </row>
    <row r="317" spans="1:10" ht="53" x14ac:dyDescent="0.2">
      <c r="A317" s="2" t="s">
        <v>548</v>
      </c>
      <c r="B317" s="3">
        <v>1</v>
      </c>
      <c r="C317" s="5">
        <v>6.99</v>
      </c>
      <c r="D317" s="4">
        <v>6.99</v>
      </c>
      <c r="E317" s="3" t="s">
        <v>549</v>
      </c>
      <c r="F317" s="2" t="s">
        <v>23</v>
      </c>
      <c r="G317" s="2" t="s">
        <v>339</v>
      </c>
      <c r="H317" s="2" t="s">
        <v>14</v>
      </c>
      <c r="I317" s="2" t="s">
        <v>96</v>
      </c>
      <c r="J317" s="6" t="str">
        <f>HYPERLINK("http://slimages.macys.com/is/image/MCY/8549937 ")</f>
        <v xml:space="preserve">http://slimages.macys.com/is/image/MCY/8549937 </v>
      </c>
    </row>
    <row r="318" spans="1:10" ht="53" x14ac:dyDescent="0.2">
      <c r="A318" s="2" t="s">
        <v>550</v>
      </c>
      <c r="B318" s="3">
        <v>1</v>
      </c>
      <c r="C318" s="5">
        <v>6.99</v>
      </c>
      <c r="D318" s="4">
        <v>6.99</v>
      </c>
      <c r="E318" s="3" t="s">
        <v>551</v>
      </c>
      <c r="F318" s="2" t="s">
        <v>23</v>
      </c>
      <c r="G318" s="2" t="s">
        <v>339</v>
      </c>
      <c r="H318" s="2" t="s">
        <v>14</v>
      </c>
      <c r="I318" s="2" t="s">
        <v>96</v>
      </c>
      <c r="J318" s="6" t="str">
        <f>HYPERLINK("http://slimages.macys.com/is/image/MCY/16065425 ")</f>
        <v xml:space="preserve">http://slimages.macys.com/is/image/MCY/16065425 </v>
      </c>
    </row>
    <row r="319" spans="1:10" ht="53" x14ac:dyDescent="0.2">
      <c r="A319" s="2" t="s">
        <v>552</v>
      </c>
      <c r="B319" s="3">
        <v>1</v>
      </c>
      <c r="C319" s="5">
        <v>6.99</v>
      </c>
      <c r="D319" s="4">
        <v>6.99</v>
      </c>
      <c r="E319" s="3" t="s">
        <v>553</v>
      </c>
      <c r="F319" s="2" t="s">
        <v>554</v>
      </c>
      <c r="G319" s="2" t="s">
        <v>339</v>
      </c>
      <c r="H319" s="2" t="s">
        <v>14</v>
      </c>
      <c r="I319" s="2" t="s">
        <v>96</v>
      </c>
      <c r="J319" s="6" t="str">
        <f>HYPERLINK("http://slimages.macys.com/is/image/MCY/15603628 ")</f>
        <v xml:space="preserve">http://slimages.macys.com/is/image/MCY/15603628 </v>
      </c>
    </row>
    <row r="320" spans="1:10" ht="53" x14ac:dyDescent="0.2">
      <c r="A320" s="2" t="s">
        <v>555</v>
      </c>
      <c r="B320" s="3">
        <v>1</v>
      </c>
      <c r="C320" s="5">
        <v>7.99</v>
      </c>
      <c r="D320" s="4">
        <v>7.99</v>
      </c>
      <c r="E320" s="3" t="s">
        <v>556</v>
      </c>
      <c r="F320" s="2" t="s">
        <v>557</v>
      </c>
      <c r="G320" s="2" t="s">
        <v>339</v>
      </c>
      <c r="H320" s="2" t="s">
        <v>14</v>
      </c>
      <c r="I320" s="2" t="s">
        <v>142</v>
      </c>
      <c r="J320" s="6" t="str">
        <f>HYPERLINK("http://slimages.macys.com/is/image/MCY/16392671 ")</f>
        <v xml:space="preserve">http://slimages.macys.com/is/image/MCY/16392671 </v>
      </c>
    </row>
    <row r="321" spans="1:10" ht="53" x14ac:dyDescent="0.2">
      <c r="A321" s="2" t="s">
        <v>558</v>
      </c>
      <c r="B321" s="3">
        <v>1</v>
      </c>
      <c r="C321" s="5">
        <v>8.99</v>
      </c>
      <c r="D321" s="4">
        <v>8.99</v>
      </c>
      <c r="E321" s="3">
        <v>10006318100</v>
      </c>
      <c r="F321" s="2" t="s">
        <v>69</v>
      </c>
      <c r="G321" s="2" t="s">
        <v>339</v>
      </c>
      <c r="H321" s="2" t="s">
        <v>14</v>
      </c>
      <c r="I321" s="2" t="s">
        <v>96</v>
      </c>
      <c r="J321" s="6" t="str">
        <f>HYPERLINK("http://slimages.macys.com/is/image/MCY/14889397 ")</f>
        <v xml:space="preserve">http://slimages.macys.com/is/image/MCY/14889397 </v>
      </c>
    </row>
    <row r="322" spans="1:10" ht="53" x14ac:dyDescent="0.2">
      <c r="A322" s="2" t="s">
        <v>559</v>
      </c>
      <c r="B322" s="3">
        <v>1</v>
      </c>
      <c r="C322" s="5">
        <v>5.99</v>
      </c>
      <c r="D322" s="4">
        <v>5.99</v>
      </c>
      <c r="E322" s="3" t="s">
        <v>560</v>
      </c>
      <c r="F322" s="2" t="s">
        <v>561</v>
      </c>
      <c r="G322" s="2" t="s">
        <v>339</v>
      </c>
      <c r="H322" s="2" t="s">
        <v>14</v>
      </c>
      <c r="I322" s="2" t="s">
        <v>115</v>
      </c>
      <c r="J322" s="6" t="str">
        <f>HYPERLINK("http://slimages.macys.com/is/image/MCY/16095104 ")</f>
        <v xml:space="preserve">http://slimages.macys.com/is/image/MCY/16095104 </v>
      </c>
    </row>
    <row r="323" spans="1:10" ht="53" x14ac:dyDescent="0.2">
      <c r="A323" s="2" t="s">
        <v>559</v>
      </c>
      <c r="B323" s="3">
        <v>2</v>
      </c>
      <c r="C323" s="5">
        <v>5.99</v>
      </c>
      <c r="D323" s="4">
        <v>11.98</v>
      </c>
      <c r="E323" s="3" t="s">
        <v>560</v>
      </c>
      <c r="F323" s="2" t="s">
        <v>184</v>
      </c>
      <c r="G323" s="2" t="s">
        <v>339</v>
      </c>
      <c r="H323" s="2" t="s">
        <v>14</v>
      </c>
      <c r="I323" s="2" t="s">
        <v>115</v>
      </c>
      <c r="J323" s="6" t="str">
        <f>HYPERLINK("http://slimages.macys.com/is/image/MCY/16095104 ")</f>
        <v xml:space="preserve">http://slimages.macys.com/is/image/MCY/16095104 </v>
      </c>
    </row>
    <row r="324" spans="1:10" ht="53" x14ac:dyDescent="0.2">
      <c r="A324" s="2" t="s">
        <v>559</v>
      </c>
      <c r="B324" s="3">
        <v>3</v>
      </c>
      <c r="C324" s="5">
        <v>5.99</v>
      </c>
      <c r="D324" s="4">
        <v>17.97</v>
      </c>
      <c r="E324" s="3" t="s">
        <v>560</v>
      </c>
      <c r="F324" s="2" t="s">
        <v>561</v>
      </c>
      <c r="G324" s="2" t="s">
        <v>339</v>
      </c>
      <c r="H324" s="2" t="s">
        <v>14</v>
      </c>
      <c r="I324" s="2" t="s">
        <v>115</v>
      </c>
      <c r="J324" s="6" t="str">
        <f>HYPERLINK("http://slimages.macys.com/is/image/MCY/16095104 ")</f>
        <v xml:space="preserve">http://slimages.macys.com/is/image/MCY/16095104 </v>
      </c>
    </row>
    <row r="325" spans="1:10" ht="53" x14ac:dyDescent="0.2">
      <c r="A325" s="2" t="s">
        <v>559</v>
      </c>
      <c r="B325" s="3">
        <v>5</v>
      </c>
      <c r="C325" s="5">
        <v>5.99</v>
      </c>
      <c r="D325" s="4">
        <v>29.95</v>
      </c>
      <c r="E325" s="3" t="s">
        <v>560</v>
      </c>
      <c r="F325" s="2" t="s">
        <v>184</v>
      </c>
      <c r="G325" s="2" t="s">
        <v>339</v>
      </c>
      <c r="H325" s="2" t="s">
        <v>14</v>
      </c>
      <c r="I325" s="2" t="s">
        <v>115</v>
      </c>
      <c r="J325" s="6" t="str">
        <f>HYPERLINK("http://slimages.macys.com/is/image/MCY/16095104 ")</f>
        <v xml:space="preserve">http://slimages.macys.com/is/image/MCY/16095104 </v>
      </c>
    </row>
    <row r="326" spans="1:10" ht="53" x14ac:dyDescent="0.2">
      <c r="A326" s="2" t="s">
        <v>562</v>
      </c>
      <c r="B326" s="3">
        <v>1</v>
      </c>
      <c r="C326" s="5">
        <v>6.99</v>
      </c>
      <c r="D326" s="4">
        <v>6.99</v>
      </c>
      <c r="E326" s="3" t="s">
        <v>563</v>
      </c>
      <c r="F326" s="2" t="s">
        <v>12</v>
      </c>
      <c r="G326" s="2" t="s">
        <v>564</v>
      </c>
      <c r="H326" s="2" t="s">
        <v>14</v>
      </c>
      <c r="I326" s="2" t="s">
        <v>142</v>
      </c>
      <c r="J326" s="6" t="str">
        <f>HYPERLINK("http://slimages.macys.com/is/image/MCY/14745961 ")</f>
        <v xml:space="preserve">http://slimages.macys.com/is/image/MCY/14745961 </v>
      </c>
    </row>
    <row r="327" spans="1:10" ht="53" x14ac:dyDescent="0.2">
      <c r="A327" s="2" t="s">
        <v>565</v>
      </c>
      <c r="B327" s="3">
        <v>1</v>
      </c>
      <c r="C327" s="5">
        <v>6.99</v>
      </c>
      <c r="D327" s="4">
        <v>6.99</v>
      </c>
      <c r="E327" s="3" t="s">
        <v>566</v>
      </c>
      <c r="F327" s="2" t="s">
        <v>12</v>
      </c>
      <c r="G327" s="2" t="s">
        <v>564</v>
      </c>
      <c r="H327" s="2" t="s">
        <v>14</v>
      </c>
      <c r="I327" s="2" t="s">
        <v>142</v>
      </c>
      <c r="J327" s="6" t="str">
        <f>HYPERLINK("http://slimages.macys.com/is/image/MCY/15123554 ")</f>
        <v xml:space="preserve">http://slimages.macys.com/is/image/MCY/15123554 </v>
      </c>
    </row>
    <row r="328" spans="1:10" ht="53" x14ac:dyDescent="0.2">
      <c r="A328" s="2" t="s">
        <v>567</v>
      </c>
      <c r="B328" s="3">
        <v>1</v>
      </c>
      <c r="C328" s="5">
        <v>6.99</v>
      </c>
      <c r="D328" s="4">
        <v>6.99</v>
      </c>
      <c r="E328" s="3" t="s">
        <v>568</v>
      </c>
      <c r="F328" s="2" t="s">
        <v>367</v>
      </c>
      <c r="G328" s="2" t="s">
        <v>339</v>
      </c>
      <c r="H328" s="2" t="s">
        <v>14</v>
      </c>
      <c r="I328" s="2" t="s">
        <v>142</v>
      </c>
      <c r="J328" s="6" t="str">
        <f>HYPERLINK("http://slimages.macys.com/is/image/MCY/16665784 ")</f>
        <v xml:space="preserve">http://slimages.macys.com/is/image/MCY/16665784 </v>
      </c>
    </row>
    <row r="329" spans="1:10" ht="53" x14ac:dyDescent="0.2">
      <c r="A329" s="2" t="s">
        <v>569</v>
      </c>
      <c r="B329" s="3">
        <v>1</v>
      </c>
      <c r="C329" s="5">
        <v>5.99</v>
      </c>
      <c r="D329" s="4">
        <v>5.99</v>
      </c>
      <c r="E329" s="3" t="s">
        <v>570</v>
      </c>
      <c r="F329" s="2" t="s">
        <v>557</v>
      </c>
      <c r="G329" s="2" t="s">
        <v>339</v>
      </c>
      <c r="H329" s="2" t="s">
        <v>14</v>
      </c>
      <c r="I329" s="2" t="s">
        <v>142</v>
      </c>
      <c r="J329" s="6" t="str">
        <f>HYPERLINK("http://slimages.macys.com/is/image/MCY/16386666 ")</f>
        <v xml:space="preserve">http://slimages.macys.com/is/image/MCY/16386666 </v>
      </c>
    </row>
    <row r="330" spans="1:10" ht="53" x14ac:dyDescent="0.2">
      <c r="A330" s="2" t="s">
        <v>571</v>
      </c>
      <c r="B330" s="3">
        <v>1</v>
      </c>
      <c r="C330" s="5">
        <v>7.99</v>
      </c>
      <c r="D330" s="4">
        <v>7.99</v>
      </c>
      <c r="E330" s="3" t="s">
        <v>572</v>
      </c>
      <c r="F330" s="2" t="s">
        <v>69</v>
      </c>
      <c r="G330" s="2" t="s">
        <v>339</v>
      </c>
      <c r="H330" s="2" t="s">
        <v>14</v>
      </c>
      <c r="I330" s="2" t="s">
        <v>142</v>
      </c>
      <c r="J330" s="6" t="str">
        <f>HYPERLINK("http://slimages.macys.com/is/image/MCY/16066223 ")</f>
        <v xml:space="preserve">http://slimages.macys.com/is/image/MCY/16066223 </v>
      </c>
    </row>
    <row r="331" spans="1:10" ht="53" x14ac:dyDescent="0.2">
      <c r="A331" s="2" t="s">
        <v>573</v>
      </c>
      <c r="B331" s="3">
        <v>1</v>
      </c>
      <c r="C331" s="5">
        <v>6.99</v>
      </c>
      <c r="D331" s="4">
        <v>6.99</v>
      </c>
      <c r="E331" s="3" t="s">
        <v>574</v>
      </c>
      <c r="F331" s="2" t="s">
        <v>18</v>
      </c>
      <c r="G331" s="2" t="s">
        <v>339</v>
      </c>
      <c r="H331" s="2" t="s">
        <v>14</v>
      </c>
      <c r="I331" s="2" t="s">
        <v>237</v>
      </c>
      <c r="J331" s="6" t="str">
        <f>HYPERLINK("http://slimages.macys.com/is/image/MCY/16386566 ")</f>
        <v xml:space="preserve">http://slimages.macys.com/is/image/MCY/16386566 </v>
      </c>
    </row>
    <row r="332" spans="1:10" ht="53" x14ac:dyDescent="0.2">
      <c r="A332" s="2" t="s">
        <v>575</v>
      </c>
      <c r="B332" s="3">
        <v>1</v>
      </c>
      <c r="C332" s="5">
        <v>7.99</v>
      </c>
      <c r="D332" s="4">
        <v>7.99</v>
      </c>
      <c r="E332" s="3" t="s">
        <v>576</v>
      </c>
      <c r="F332" s="2" t="s">
        <v>184</v>
      </c>
      <c r="G332" s="2" t="s">
        <v>339</v>
      </c>
      <c r="H332" s="2" t="s">
        <v>14</v>
      </c>
      <c r="I332" s="2" t="s">
        <v>73</v>
      </c>
      <c r="J332" s="6" t="str">
        <f>HYPERLINK("http://slimages.macys.com/is/image/MCY/16066439 ")</f>
        <v xml:space="preserve">http://slimages.macys.com/is/image/MCY/16066439 </v>
      </c>
    </row>
    <row r="333" spans="1:10" ht="53" x14ac:dyDescent="0.2">
      <c r="A333" s="2" t="s">
        <v>577</v>
      </c>
      <c r="B333" s="3">
        <v>1</v>
      </c>
      <c r="C333" s="5">
        <v>5.99</v>
      </c>
      <c r="D333" s="4">
        <v>5.99</v>
      </c>
      <c r="E333" s="3" t="s">
        <v>578</v>
      </c>
      <c r="F333" s="2" t="s">
        <v>102</v>
      </c>
      <c r="G333" s="2" t="s">
        <v>339</v>
      </c>
      <c r="H333" s="2" t="s">
        <v>14</v>
      </c>
      <c r="I333" s="2" t="s">
        <v>115</v>
      </c>
      <c r="J333" s="6" t="str">
        <f>HYPERLINK("http://slimages.macys.com/is/image/MCY/16065945 ")</f>
        <v xml:space="preserve">http://slimages.macys.com/is/image/MCY/16065945 </v>
      </c>
    </row>
    <row r="334" spans="1:10" ht="53" x14ac:dyDescent="0.2">
      <c r="A334" s="2" t="s">
        <v>579</v>
      </c>
      <c r="B334" s="3">
        <v>1</v>
      </c>
      <c r="C334" s="5">
        <v>6.99</v>
      </c>
      <c r="D334" s="4">
        <v>6.99</v>
      </c>
      <c r="E334" s="3" t="s">
        <v>580</v>
      </c>
      <c r="F334" s="2" t="s">
        <v>69</v>
      </c>
      <c r="G334" s="2" t="s">
        <v>339</v>
      </c>
      <c r="H334" s="2" t="s">
        <v>14</v>
      </c>
      <c r="I334" s="2" t="s">
        <v>298</v>
      </c>
      <c r="J334" s="6" t="str">
        <f>HYPERLINK("http://slimages.macys.com/is/image/MCY/14384956 ")</f>
        <v xml:space="preserve">http://slimages.macys.com/is/image/MCY/14384956 </v>
      </c>
    </row>
    <row r="335" spans="1:10" ht="53" x14ac:dyDescent="0.2">
      <c r="A335" s="2" t="s">
        <v>581</v>
      </c>
      <c r="B335" s="3">
        <v>1</v>
      </c>
      <c r="C335" s="5">
        <v>6.99</v>
      </c>
      <c r="D335" s="4">
        <v>6.99</v>
      </c>
      <c r="E335" s="3" t="s">
        <v>582</v>
      </c>
      <c r="F335" s="2" t="s">
        <v>69</v>
      </c>
      <c r="G335" s="2" t="s">
        <v>339</v>
      </c>
      <c r="H335" s="2"/>
      <c r="I335" s="2"/>
      <c r="J335" s="6" t="str">
        <f>HYPERLINK("http://slimages.macys.com/is/image/MCY/16690335 ")</f>
        <v xml:space="preserve">http://slimages.macys.com/is/image/MCY/16690335 </v>
      </c>
    </row>
    <row r="336" spans="1:10" ht="53" x14ac:dyDescent="0.2">
      <c r="A336" s="2" t="s">
        <v>583</v>
      </c>
      <c r="B336" s="3">
        <v>1</v>
      </c>
      <c r="C336" s="5">
        <v>5.99</v>
      </c>
      <c r="D336" s="4">
        <v>5.99</v>
      </c>
      <c r="E336" s="3" t="s">
        <v>584</v>
      </c>
      <c r="F336" s="2" t="s">
        <v>557</v>
      </c>
      <c r="G336" s="2" t="s">
        <v>339</v>
      </c>
      <c r="H336" s="2" t="s">
        <v>14</v>
      </c>
      <c r="I336" s="2" t="s">
        <v>115</v>
      </c>
      <c r="J336" s="6" t="str">
        <f>HYPERLINK("http://slimages.macys.com/is/image/MCY/16385845 ")</f>
        <v xml:space="preserve">http://slimages.macys.com/is/image/MCY/16385845 </v>
      </c>
    </row>
    <row r="337" spans="1:10" ht="53" x14ac:dyDescent="0.2">
      <c r="A337" s="2" t="s">
        <v>585</v>
      </c>
      <c r="B337" s="3">
        <v>3</v>
      </c>
      <c r="C337" s="5">
        <v>5.99</v>
      </c>
      <c r="D337" s="4">
        <v>17.97</v>
      </c>
      <c r="E337" s="3" t="s">
        <v>586</v>
      </c>
      <c r="F337" s="2" t="s">
        <v>184</v>
      </c>
      <c r="G337" s="2" t="s">
        <v>339</v>
      </c>
      <c r="H337" s="2" t="s">
        <v>14</v>
      </c>
      <c r="I337" s="2" t="s">
        <v>142</v>
      </c>
      <c r="J337" s="6" t="str">
        <f>HYPERLINK("http://slimages.macys.com/is/image/MCY/16386701 ")</f>
        <v xml:space="preserve">http://slimages.macys.com/is/image/MCY/16386701 </v>
      </c>
    </row>
    <row r="338" spans="1:10" ht="53" x14ac:dyDescent="0.2">
      <c r="A338" s="2" t="s">
        <v>583</v>
      </c>
      <c r="B338" s="3">
        <v>4</v>
      </c>
      <c r="C338" s="5">
        <v>5.99</v>
      </c>
      <c r="D338" s="4">
        <v>23.96</v>
      </c>
      <c r="E338" s="3" t="s">
        <v>584</v>
      </c>
      <c r="F338" s="2" t="s">
        <v>557</v>
      </c>
      <c r="G338" s="2" t="s">
        <v>339</v>
      </c>
      <c r="H338" s="2" t="s">
        <v>14</v>
      </c>
      <c r="I338" s="2" t="s">
        <v>115</v>
      </c>
      <c r="J338" s="6" t="str">
        <f>HYPERLINK("http://slimages.macys.com/is/image/MCY/16385845 ")</f>
        <v xml:space="preserve">http://slimages.macys.com/is/image/MCY/16385845 </v>
      </c>
    </row>
    <row r="339" spans="1:10" ht="53" x14ac:dyDescent="0.2">
      <c r="A339" s="2" t="s">
        <v>583</v>
      </c>
      <c r="B339" s="3">
        <v>3</v>
      </c>
      <c r="C339" s="5">
        <v>5.99</v>
      </c>
      <c r="D339" s="4">
        <v>17.97</v>
      </c>
      <c r="E339" s="3" t="s">
        <v>584</v>
      </c>
      <c r="F339" s="2" t="s">
        <v>557</v>
      </c>
      <c r="G339" s="2" t="s">
        <v>339</v>
      </c>
      <c r="H339" s="2" t="s">
        <v>14</v>
      </c>
      <c r="I339" s="2" t="s">
        <v>115</v>
      </c>
      <c r="J339" s="6" t="str">
        <f>HYPERLINK("http://slimages.macys.com/is/image/MCY/16385845 ")</f>
        <v xml:space="preserve">http://slimages.macys.com/is/image/MCY/16385845 </v>
      </c>
    </row>
    <row r="340" spans="1:10" ht="53" x14ac:dyDescent="0.2">
      <c r="A340" s="2" t="s">
        <v>587</v>
      </c>
      <c r="B340" s="3">
        <v>1</v>
      </c>
      <c r="C340" s="5">
        <v>5.99</v>
      </c>
      <c r="D340" s="4">
        <v>5.99</v>
      </c>
      <c r="E340" s="3" t="s">
        <v>588</v>
      </c>
      <c r="F340" s="2" t="s">
        <v>367</v>
      </c>
      <c r="G340" s="2" t="s">
        <v>339</v>
      </c>
      <c r="H340" s="2" t="s">
        <v>14</v>
      </c>
      <c r="I340" s="2" t="s">
        <v>115</v>
      </c>
      <c r="J340" s="6" t="str">
        <f>HYPERLINK("http://slimages.macys.com/is/image/MCY/16385454 ")</f>
        <v xml:space="preserve">http://slimages.macys.com/is/image/MCY/16385454 </v>
      </c>
    </row>
    <row r="341" spans="1:10" ht="53" x14ac:dyDescent="0.2">
      <c r="A341" s="2" t="s">
        <v>589</v>
      </c>
      <c r="B341" s="3">
        <v>1</v>
      </c>
      <c r="C341" s="5">
        <v>5.99</v>
      </c>
      <c r="D341" s="4">
        <v>5.99</v>
      </c>
      <c r="E341" s="3" t="s">
        <v>590</v>
      </c>
      <c r="F341" s="2" t="s">
        <v>367</v>
      </c>
      <c r="G341" s="2" t="s">
        <v>339</v>
      </c>
      <c r="H341" s="2" t="s">
        <v>14</v>
      </c>
      <c r="I341" s="2" t="s">
        <v>115</v>
      </c>
      <c r="J341" s="6" t="str">
        <f>HYPERLINK("http://slimages.macys.com/is/image/MCY/16385821 ")</f>
        <v xml:space="preserve">http://slimages.macys.com/is/image/MCY/16385821 </v>
      </c>
    </row>
    <row r="342" spans="1:10" ht="53" x14ac:dyDescent="0.2">
      <c r="A342" s="2" t="s">
        <v>589</v>
      </c>
      <c r="B342" s="3">
        <v>1</v>
      </c>
      <c r="C342" s="5">
        <v>5.99</v>
      </c>
      <c r="D342" s="4">
        <v>5.99</v>
      </c>
      <c r="E342" s="3" t="s">
        <v>590</v>
      </c>
      <c r="F342" s="2" t="s">
        <v>367</v>
      </c>
      <c r="G342" s="2" t="s">
        <v>339</v>
      </c>
      <c r="H342" s="2" t="s">
        <v>14</v>
      </c>
      <c r="I342" s="2" t="s">
        <v>115</v>
      </c>
      <c r="J342" s="6" t="str">
        <f>HYPERLINK("http://slimages.macys.com/is/image/MCY/16385821 ")</f>
        <v xml:space="preserve">http://slimages.macys.com/is/image/MCY/16385821 </v>
      </c>
    </row>
    <row r="343" spans="1:10" ht="53" x14ac:dyDescent="0.2">
      <c r="A343" s="2" t="s">
        <v>591</v>
      </c>
      <c r="B343" s="3">
        <v>1</v>
      </c>
      <c r="C343" s="5">
        <v>6.99</v>
      </c>
      <c r="D343" s="4">
        <v>6.99</v>
      </c>
      <c r="E343" s="3" t="s">
        <v>592</v>
      </c>
      <c r="F343" s="2" t="s">
        <v>172</v>
      </c>
      <c r="G343" s="2" t="s">
        <v>339</v>
      </c>
      <c r="H343" s="2"/>
      <c r="I343" s="2"/>
      <c r="J343" s="6" t="str">
        <f>HYPERLINK("http://slimages.macys.com/is/image/MCY/16384703 ")</f>
        <v xml:space="preserve">http://slimages.macys.com/is/image/MCY/16384703 </v>
      </c>
    </row>
    <row r="344" spans="1:10" ht="53" x14ac:dyDescent="0.2">
      <c r="A344" s="2" t="s">
        <v>593</v>
      </c>
      <c r="B344" s="3">
        <v>4</v>
      </c>
      <c r="C344" s="5">
        <v>5.99</v>
      </c>
      <c r="D344" s="4">
        <v>23.96</v>
      </c>
      <c r="E344" s="3" t="s">
        <v>594</v>
      </c>
      <c r="F344" s="2" t="s">
        <v>162</v>
      </c>
      <c r="G344" s="2" t="s">
        <v>339</v>
      </c>
      <c r="H344" s="2" t="s">
        <v>14</v>
      </c>
      <c r="I344" s="2" t="s">
        <v>142</v>
      </c>
      <c r="J344" s="6" t="str">
        <f>HYPERLINK("http://slimages.macys.com/is/image/MCY/16381903 ")</f>
        <v xml:space="preserve">http://slimages.macys.com/is/image/MCY/16381903 </v>
      </c>
    </row>
    <row r="345" spans="1:10" ht="53" x14ac:dyDescent="0.2">
      <c r="A345" s="2" t="s">
        <v>595</v>
      </c>
      <c r="B345" s="3">
        <v>2</v>
      </c>
      <c r="C345" s="5">
        <v>5.99</v>
      </c>
      <c r="D345" s="4">
        <v>11.98</v>
      </c>
      <c r="E345" s="3" t="s">
        <v>596</v>
      </c>
      <c r="F345" s="2" t="s">
        <v>69</v>
      </c>
      <c r="G345" s="2" t="s">
        <v>339</v>
      </c>
      <c r="H345" s="2" t="s">
        <v>14</v>
      </c>
      <c r="I345" s="2" t="s">
        <v>142</v>
      </c>
      <c r="J345" s="6" t="str">
        <f>HYPERLINK("http://slimages.macys.com/is/image/MCY/16466402 ")</f>
        <v xml:space="preserve">http://slimages.macys.com/is/image/MCY/16466402 </v>
      </c>
    </row>
    <row r="346" spans="1:10" ht="53" x14ac:dyDescent="0.2">
      <c r="A346" s="2" t="s">
        <v>593</v>
      </c>
      <c r="B346" s="3">
        <v>5</v>
      </c>
      <c r="C346" s="5">
        <v>5.99</v>
      </c>
      <c r="D346" s="4">
        <v>29.95</v>
      </c>
      <c r="E346" s="3" t="s">
        <v>594</v>
      </c>
      <c r="F346" s="2" t="s">
        <v>162</v>
      </c>
      <c r="G346" s="2" t="s">
        <v>339</v>
      </c>
      <c r="H346" s="2" t="s">
        <v>14</v>
      </c>
      <c r="I346" s="2" t="s">
        <v>142</v>
      </c>
      <c r="J346" s="6" t="str">
        <f>HYPERLINK("http://slimages.macys.com/is/image/MCY/16381903 ")</f>
        <v xml:space="preserve">http://slimages.macys.com/is/image/MCY/16381903 </v>
      </c>
    </row>
    <row r="347" spans="1:10" ht="53" x14ac:dyDescent="0.2">
      <c r="A347" s="2" t="s">
        <v>597</v>
      </c>
      <c r="B347" s="3">
        <v>2</v>
      </c>
      <c r="C347" s="5">
        <v>7.99</v>
      </c>
      <c r="D347" s="4">
        <v>15.98</v>
      </c>
      <c r="E347" s="3" t="s">
        <v>598</v>
      </c>
      <c r="F347" s="2" t="s">
        <v>599</v>
      </c>
      <c r="G347" s="2" t="s">
        <v>339</v>
      </c>
      <c r="H347" s="2" t="s">
        <v>14</v>
      </c>
      <c r="I347" s="2" t="s">
        <v>237</v>
      </c>
      <c r="J347" s="6" t="str">
        <f>HYPERLINK("http://slimages.macys.com/is/image/MCY/15796097 ")</f>
        <v xml:space="preserve">http://slimages.macys.com/is/image/MCY/15796097 </v>
      </c>
    </row>
    <row r="348" spans="1:10" ht="53" x14ac:dyDescent="0.2">
      <c r="A348" s="2" t="s">
        <v>600</v>
      </c>
      <c r="B348" s="3">
        <v>2</v>
      </c>
      <c r="C348" s="5">
        <v>5.99</v>
      </c>
      <c r="D348" s="4">
        <v>11.98</v>
      </c>
      <c r="E348" s="3" t="s">
        <v>601</v>
      </c>
      <c r="F348" s="2" t="s">
        <v>561</v>
      </c>
      <c r="G348" s="2" t="s">
        <v>339</v>
      </c>
      <c r="H348" s="2" t="s">
        <v>14</v>
      </c>
      <c r="I348" s="2" t="s">
        <v>142</v>
      </c>
      <c r="J348" s="6" t="str">
        <f>HYPERLINK("http://slimages.macys.com/is/image/MCY/16383871 ")</f>
        <v xml:space="preserve">http://slimages.macys.com/is/image/MCY/16383871 </v>
      </c>
    </row>
    <row r="349" spans="1:10" ht="53" x14ac:dyDescent="0.2">
      <c r="A349" s="2" t="s">
        <v>600</v>
      </c>
      <c r="B349" s="3">
        <v>1</v>
      </c>
      <c r="C349" s="5">
        <v>5.99</v>
      </c>
      <c r="D349" s="4">
        <v>5.99</v>
      </c>
      <c r="E349" s="3" t="s">
        <v>601</v>
      </c>
      <c r="F349" s="2" t="s">
        <v>561</v>
      </c>
      <c r="G349" s="2" t="s">
        <v>339</v>
      </c>
      <c r="H349" s="2" t="s">
        <v>14</v>
      </c>
      <c r="I349" s="2" t="s">
        <v>142</v>
      </c>
      <c r="J349" s="6" t="str">
        <f>HYPERLINK("http://slimages.macys.com/is/image/MCY/16383871 ")</f>
        <v xml:space="preserve">http://slimages.macys.com/is/image/MCY/16383871 </v>
      </c>
    </row>
    <row r="350" spans="1:10" ht="53" x14ac:dyDescent="0.2">
      <c r="A350" s="2" t="s">
        <v>602</v>
      </c>
      <c r="B350" s="3">
        <v>3</v>
      </c>
      <c r="C350" s="5">
        <v>5.99</v>
      </c>
      <c r="D350" s="4">
        <v>17.97</v>
      </c>
      <c r="E350" s="3" t="s">
        <v>603</v>
      </c>
      <c r="F350" s="2" t="s">
        <v>69</v>
      </c>
      <c r="G350" s="2" t="s">
        <v>339</v>
      </c>
      <c r="H350" s="2" t="s">
        <v>14</v>
      </c>
      <c r="I350" s="2" t="s">
        <v>115</v>
      </c>
      <c r="J350" s="6" t="str">
        <f>HYPERLINK("http://slimages.macys.com/is/image/MCY/16370593 ")</f>
        <v xml:space="preserve">http://slimages.macys.com/is/image/MCY/16370593 </v>
      </c>
    </row>
    <row r="351" spans="1:10" ht="53" x14ac:dyDescent="0.2">
      <c r="A351" s="2" t="s">
        <v>604</v>
      </c>
      <c r="B351" s="3">
        <v>1</v>
      </c>
      <c r="C351" s="5">
        <v>5.99</v>
      </c>
      <c r="D351" s="4">
        <v>5.99</v>
      </c>
      <c r="E351" s="3" t="s">
        <v>605</v>
      </c>
      <c r="F351" s="2" t="s">
        <v>324</v>
      </c>
      <c r="G351" s="2" t="s">
        <v>339</v>
      </c>
      <c r="H351" s="2"/>
      <c r="I351" s="2"/>
      <c r="J351" s="6" t="str">
        <f>HYPERLINK("http://slimages.macys.com/is/image/MCY/16386197 ")</f>
        <v xml:space="preserve">http://slimages.macys.com/is/image/MCY/16386197 </v>
      </c>
    </row>
    <row r="352" spans="1:10" ht="53" x14ac:dyDescent="0.2">
      <c r="A352" s="2" t="s">
        <v>606</v>
      </c>
      <c r="B352" s="3">
        <v>1</v>
      </c>
      <c r="C352" s="5">
        <v>5.99</v>
      </c>
      <c r="D352" s="4">
        <v>5.99</v>
      </c>
      <c r="E352" s="3" t="s">
        <v>607</v>
      </c>
      <c r="F352" s="2" t="s">
        <v>23</v>
      </c>
      <c r="G352" s="2" t="s">
        <v>339</v>
      </c>
      <c r="H352" s="2" t="s">
        <v>14</v>
      </c>
      <c r="I352" s="2" t="s">
        <v>96</v>
      </c>
      <c r="J352" s="6" t="str">
        <f>HYPERLINK("http://slimages.macys.com/is/image/MCY/16545628 ")</f>
        <v xml:space="preserve">http://slimages.macys.com/is/image/MCY/16545628 </v>
      </c>
    </row>
    <row r="353" spans="1:10" ht="53" x14ac:dyDescent="0.2">
      <c r="A353" s="2" t="s">
        <v>608</v>
      </c>
      <c r="B353" s="3">
        <v>4</v>
      </c>
      <c r="C353" s="5">
        <v>5.99</v>
      </c>
      <c r="D353" s="4">
        <v>23.96</v>
      </c>
      <c r="E353" s="3" t="s">
        <v>609</v>
      </c>
      <c r="F353" s="2" t="s">
        <v>69</v>
      </c>
      <c r="G353" s="2" t="s">
        <v>339</v>
      </c>
      <c r="H353" s="2" t="s">
        <v>14</v>
      </c>
      <c r="I353" s="2" t="s">
        <v>142</v>
      </c>
      <c r="J353" s="6" t="str">
        <f>HYPERLINK("http://slimages.macys.com/is/image/MCY/16381871 ")</f>
        <v xml:space="preserve">http://slimages.macys.com/is/image/MCY/16381871 </v>
      </c>
    </row>
    <row r="354" spans="1:10" ht="53" x14ac:dyDescent="0.2">
      <c r="A354" s="2" t="s">
        <v>608</v>
      </c>
      <c r="B354" s="3">
        <v>1</v>
      </c>
      <c r="C354" s="5">
        <v>5.99</v>
      </c>
      <c r="D354" s="4">
        <v>5.99</v>
      </c>
      <c r="E354" s="3" t="s">
        <v>609</v>
      </c>
      <c r="F354" s="2" t="s">
        <v>69</v>
      </c>
      <c r="G354" s="2" t="s">
        <v>339</v>
      </c>
      <c r="H354" s="2" t="s">
        <v>14</v>
      </c>
      <c r="I354" s="2" t="s">
        <v>142</v>
      </c>
      <c r="J354" s="6" t="str">
        <f>HYPERLINK("http://slimages.macys.com/is/image/MCY/16381871 ")</f>
        <v xml:space="preserve">http://slimages.macys.com/is/image/MCY/16381871 </v>
      </c>
    </row>
    <row r="355" spans="1:10" ht="53" x14ac:dyDescent="0.2">
      <c r="A355" s="2" t="s">
        <v>610</v>
      </c>
      <c r="B355" s="3">
        <v>1</v>
      </c>
      <c r="C355" s="5">
        <v>5.99</v>
      </c>
      <c r="D355" s="4">
        <v>5.99</v>
      </c>
      <c r="E355" s="3" t="s">
        <v>611</v>
      </c>
      <c r="F355" s="2" t="s">
        <v>162</v>
      </c>
      <c r="G355" s="2" t="s">
        <v>339</v>
      </c>
      <c r="H355" s="2"/>
      <c r="I355" s="2"/>
      <c r="J355" s="6" t="str">
        <f>HYPERLINK("http://slimages.macys.com/is/image/MCY/16383794 ")</f>
        <v xml:space="preserve">http://slimages.macys.com/is/image/MCY/16383794 </v>
      </c>
    </row>
    <row r="356" spans="1:10" ht="53" x14ac:dyDescent="0.2">
      <c r="A356" s="2" t="s">
        <v>612</v>
      </c>
      <c r="B356" s="3">
        <v>3</v>
      </c>
      <c r="C356" s="5">
        <v>5.99</v>
      </c>
      <c r="D356" s="4">
        <v>17.97</v>
      </c>
      <c r="E356" s="3" t="s">
        <v>613</v>
      </c>
      <c r="F356" s="2" t="s">
        <v>162</v>
      </c>
      <c r="G356" s="2" t="s">
        <v>339</v>
      </c>
      <c r="H356" s="2" t="s">
        <v>14</v>
      </c>
      <c r="I356" s="2" t="s">
        <v>237</v>
      </c>
      <c r="J356" s="6" t="str">
        <f>HYPERLINK("http://slimages.macys.com/is/image/MCY/16386474 ")</f>
        <v xml:space="preserve">http://slimages.macys.com/is/image/MCY/16386474 </v>
      </c>
    </row>
    <row r="357" spans="1:10" ht="53" x14ac:dyDescent="0.2">
      <c r="A357" s="2" t="s">
        <v>612</v>
      </c>
      <c r="B357" s="3">
        <v>3</v>
      </c>
      <c r="C357" s="5">
        <v>5.99</v>
      </c>
      <c r="D357" s="4">
        <v>17.97</v>
      </c>
      <c r="E357" s="3" t="s">
        <v>613</v>
      </c>
      <c r="F357" s="2" t="s">
        <v>162</v>
      </c>
      <c r="G357" s="2" t="s">
        <v>339</v>
      </c>
      <c r="H357" s="2" t="s">
        <v>14</v>
      </c>
      <c r="I357" s="2" t="s">
        <v>237</v>
      </c>
      <c r="J357" s="6" t="str">
        <f>HYPERLINK("http://slimages.macys.com/is/image/MCY/16386474 ")</f>
        <v xml:space="preserve">http://slimages.macys.com/is/image/MCY/16386474 </v>
      </c>
    </row>
    <row r="358" spans="1:10" ht="53" x14ac:dyDescent="0.2">
      <c r="A358" s="2" t="s">
        <v>614</v>
      </c>
      <c r="B358" s="3">
        <v>1</v>
      </c>
      <c r="C358" s="5">
        <v>5.99</v>
      </c>
      <c r="D358" s="4">
        <v>5.99</v>
      </c>
      <c r="E358" s="3" t="s">
        <v>615</v>
      </c>
      <c r="F358" s="2" t="s">
        <v>102</v>
      </c>
      <c r="G358" s="2" t="s">
        <v>339</v>
      </c>
      <c r="H358" s="2" t="s">
        <v>14</v>
      </c>
      <c r="I358" s="2" t="s">
        <v>115</v>
      </c>
      <c r="J358" s="6" t="str">
        <f>HYPERLINK("http://slimages.macys.com/is/image/MCY/16066321 ")</f>
        <v xml:space="preserve">http://slimages.macys.com/is/image/MCY/16066321 </v>
      </c>
    </row>
    <row r="359" spans="1:10" ht="53" x14ac:dyDescent="0.2">
      <c r="A359" s="2" t="s">
        <v>616</v>
      </c>
      <c r="B359" s="3">
        <v>1</v>
      </c>
      <c r="C359" s="5">
        <v>5.99</v>
      </c>
      <c r="D359" s="4">
        <v>5.99</v>
      </c>
      <c r="E359" s="3" t="s">
        <v>617</v>
      </c>
      <c r="F359" s="2" t="s">
        <v>69</v>
      </c>
      <c r="G359" s="2" t="s">
        <v>339</v>
      </c>
      <c r="H359" s="2" t="s">
        <v>14</v>
      </c>
      <c r="I359" s="2" t="s">
        <v>96</v>
      </c>
      <c r="J359" s="6" t="str">
        <f>HYPERLINK("http://slimages.macys.com/is/image/MCY/16382694 ")</f>
        <v xml:space="preserve">http://slimages.macys.com/is/image/MCY/16382694 </v>
      </c>
    </row>
    <row r="360" spans="1:10" ht="53" x14ac:dyDescent="0.2">
      <c r="A360" s="2" t="s">
        <v>616</v>
      </c>
      <c r="B360" s="3">
        <v>2</v>
      </c>
      <c r="C360" s="5">
        <v>5.99</v>
      </c>
      <c r="D360" s="4">
        <v>11.98</v>
      </c>
      <c r="E360" s="3" t="s">
        <v>617</v>
      </c>
      <c r="F360" s="2" t="s">
        <v>69</v>
      </c>
      <c r="G360" s="2" t="s">
        <v>339</v>
      </c>
      <c r="H360" s="2" t="s">
        <v>14</v>
      </c>
      <c r="I360" s="2" t="s">
        <v>96</v>
      </c>
      <c r="J360" s="6" t="str">
        <f>HYPERLINK("http://slimages.macys.com/is/image/MCY/16382694 ")</f>
        <v xml:space="preserve">http://slimages.macys.com/is/image/MCY/16382694 </v>
      </c>
    </row>
    <row r="361" spans="1:10" ht="53" x14ac:dyDescent="0.2">
      <c r="A361" s="2" t="s">
        <v>618</v>
      </c>
      <c r="B361" s="3">
        <v>2</v>
      </c>
      <c r="C361" s="5">
        <v>6.99</v>
      </c>
      <c r="D361" s="4">
        <v>13.98</v>
      </c>
      <c r="E361" s="3">
        <v>10006318500</v>
      </c>
      <c r="F361" s="2" t="s">
        <v>69</v>
      </c>
      <c r="G361" s="2" t="s">
        <v>339</v>
      </c>
      <c r="H361" s="2" t="s">
        <v>14</v>
      </c>
      <c r="I361" s="2" t="s">
        <v>96</v>
      </c>
      <c r="J361" s="6" t="str">
        <f>HYPERLINK("http://slimages.macys.com/is/image/MCY/13987509 ")</f>
        <v xml:space="preserve">http://slimages.macys.com/is/image/MCY/13987509 </v>
      </c>
    </row>
    <row r="362" spans="1:10" ht="66" x14ac:dyDescent="0.2">
      <c r="A362" s="2" t="s">
        <v>619</v>
      </c>
      <c r="B362" s="3">
        <v>7</v>
      </c>
      <c r="C362" s="5">
        <v>2.99</v>
      </c>
      <c r="D362" s="4">
        <v>20.93</v>
      </c>
      <c r="E362" s="3" t="s">
        <v>620</v>
      </c>
      <c r="F362" s="2" t="s">
        <v>172</v>
      </c>
      <c r="G362" s="2" t="s">
        <v>502</v>
      </c>
      <c r="H362" s="2"/>
      <c r="I362" s="2"/>
      <c r="J362" s="6" t="str">
        <f>HYPERLINK("http://slimages.macys.com/is/image/MCY/16392732 ")</f>
        <v xml:space="preserve">http://slimages.macys.com/is/image/MCY/16392732 </v>
      </c>
    </row>
    <row r="363" spans="1:10" ht="66" x14ac:dyDescent="0.2">
      <c r="A363" s="2" t="s">
        <v>619</v>
      </c>
      <c r="B363" s="3">
        <v>4</v>
      </c>
      <c r="C363" s="5">
        <v>2.99</v>
      </c>
      <c r="D363" s="4">
        <v>11.96</v>
      </c>
      <c r="E363" s="3" t="s">
        <v>620</v>
      </c>
      <c r="F363" s="2" t="s">
        <v>172</v>
      </c>
      <c r="G363" s="2" t="s">
        <v>502</v>
      </c>
      <c r="H363" s="2"/>
      <c r="I363" s="2"/>
      <c r="J363" s="6" t="str">
        <f>HYPERLINK("http://slimages.macys.com/is/image/MCY/16392732 ")</f>
        <v xml:space="preserve">http://slimages.macys.com/is/image/MCY/16392732 </v>
      </c>
    </row>
    <row r="364" spans="1:10" ht="66" x14ac:dyDescent="0.2">
      <c r="A364" s="2" t="s">
        <v>619</v>
      </c>
      <c r="B364" s="3">
        <v>8</v>
      </c>
      <c r="C364" s="5">
        <v>2.99</v>
      </c>
      <c r="D364" s="4">
        <v>23.92</v>
      </c>
      <c r="E364" s="3" t="s">
        <v>620</v>
      </c>
      <c r="F364" s="2" t="s">
        <v>172</v>
      </c>
      <c r="G364" s="2" t="s">
        <v>502</v>
      </c>
      <c r="H364" s="2"/>
      <c r="I364" s="2"/>
      <c r="J364" s="6" t="str">
        <f>HYPERLINK("http://slimages.macys.com/is/image/MCY/16392732 ")</f>
        <v xml:space="preserve">http://slimages.macys.com/is/image/MCY/16392732 </v>
      </c>
    </row>
    <row r="365" spans="1:10" ht="27" x14ac:dyDescent="0.2">
      <c r="A365" s="2" t="s">
        <v>621</v>
      </c>
      <c r="B365" s="3">
        <v>1</v>
      </c>
      <c r="C365" s="5">
        <v>44.99</v>
      </c>
      <c r="D365" s="4">
        <v>44.99</v>
      </c>
      <c r="E365" s="3" t="s">
        <v>622</v>
      </c>
      <c r="F365" s="2" t="s">
        <v>69</v>
      </c>
      <c r="G365" s="2" t="s">
        <v>84</v>
      </c>
      <c r="H365" s="2"/>
      <c r="I365" s="2"/>
      <c r="J365" s="6"/>
    </row>
    <row r="366" spans="1:10" ht="66" x14ac:dyDescent="0.2">
      <c r="A366" s="2" t="s">
        <v>623</v>
      </c>
      <c r="B366" s="3">
        <v>1</v>
      </c>
      <c r="C366" s="5">
        <v>39.5</v>
      </c>
      <c r="D366" s="4">
        <v>39.5</v>
      </c>
      <c r="E366" s="3">
        <v>321785810003</v>
      </c>
      <c r="F366" s="2" t="s">
        <v>12</v>
      </c>
      <c r="G366" s="2" t="s">
        <v>33</v>
      </c>
      <c r="H366" s="2"/>
      <c r="I366" s="2"/>
      <c r="J366" s="6"/>
    </row>
    <row r="367" spans="1:10" ht="40" x14ac:dyDescent="0.2">
      <c r="A367" s="2" t="s">
        <v>624</v>
      </c>
      <c r="B367" s="3">
        <v>1</v>
      </c>
      <c r="C367" s="5">
        <v>29.99</v>
      </c>
      <c r="D367" s="4">
        <v>29.99</v>
      </c>
      <c r="E367" s="3" t="s">
        <v>625</v>
      </c>
      <c r="F367" s="2" t="s">
        <v>32</v>
      </c>
      <c r="G367" s="2" t="s">
        <v>484</v>
      </c>
      <c r="H367" s="2"/>
      <c r="I367" s="2"/>
      <c r="J367" s="6"/>
    </row>
    <row r="368" spans="1:10" ht="40" x14ac:dyDescent="0.2">
      <c r="A368" s="2" t="s">
        <v>626</v>
      </c>
      <c r="B368" s="3">
        <v>1</v>
      </c>
      <c r="C368" s="5">
        <v>29.99</v>
      </c>
      <c r="D368" s="4">
        <v>29.99</v>
      </c>
      <c r="E368" s="3" t="s">
        <v>627</v>
      </c>
      <c r="F368" s="2" t="s">
        <v>32</v>
      </c>
      <c r="G368" s="2" t="s">
        <v>484</v>
      </c>
      <c r="H368" s="2"/>
      <c r="I368" s="2"/>
      <c r="J368" s="6"/>
    </row>
    <row r="369" spans="1:10" ht="27" x14ac:dyDescent="0.2">
      <c r="A369" s="2" t="s">
        <v>628</v>
      </c>
      <c r="B369" s="3">
        <v>1</v>
      </c>
      <c r="C369" s="5">
        <v>39.99</v>
      </c>
      <c r="D369" s="4">
        <v>39.99</v>
      </c>
      <c r="E369" s="3" t="s">
        <v>629</v>
      </c>
      <c r="F369" s="2" t="s">
        <v>32</v>
      </c>
      <c r="G369" s="2" t="s">
        <v>84</v>
      </c>
      <c r="H369" s="2"/>
      <c r="I369" s="2"/>
      <c r="J369" s="6"/>
    </row>
    <row r="370" spans="1:10" ht="53" x14ac:dyDescent="0.2">
      <c r="A370" s="2" t="s">
        <v>630</v>
      </c>
      <c r="B370" s="3">
        <v>1</v>
      </c>
      <c r="C370" s="5">
        <v>27.22</v>
      </c>
      <c r="D370" s="4">
        <v>27.22</v>
      </c>
      <c r="E370" s="3" t="s">
        <v>631</v>
      </c>
      <c r="F370" s="2" t="s">
        <v>367</v>
      </c>
      <c r="G370" s="2" t="s">
        <v>632</v>
      </c>
      <c r="H370" s="2"/>
      <c r="I370" s="2"/>
      <c r="J370" s="6"/>
    </row>
    <row r="371" spans="1:10" ht="53" x14ac:dyDescent="0.2">
      <c r="A371" s="2" t="s">
        <v>633</v>
      </c>
      <c r="B371" s="3">
        <v>1</v>
      </c>
      <c r="C371" s="5">
        <v>29</v>
      </c>
      <c r="D371" s="4">
        <v>29</v>
      </c>
      <c r="E371" s="3" t="s">
        <v>634</v>
      </c>
      <c r="F371" s="2" t="s">
        <v>126</v>
      </c>
      <c r="G371" s="2" t="s">
        <v>635</v>
      </c>
      <c r="H371" s="2"/>
      <c r="I371" s="2"/>
      <c r="J371" s="6"/>
    </row>
    <row r="372" spans="1:10" ht="40" x14ac:dyDescent="0.2">
      <c r="A372" s="2" t="s">
        <v>636</v>
      </c>
      <c r="B372" s="3">
        <v>1</v>
      </c>
      <c r="C372" s="5">
        <v>23.99</v>
      </c>
      <c r="D372" s="4">
        <v>23.99</v>
      </c>
      <c r="E372" s="3" t="s">
        <v>637</v>
      </c>
      <c r="F372" s="2" t="s">
        <v>102</v>
      </c>
      <c r="G372" s="2" t="s">
        <v>438</v>
      </c>
      <c r="H372" s="2"/>
      <c r="I372" s="2"/>
      <c r="J372" s="6"/>
    </row>
    <row r="373" spans="1:10" ht="27" x14ac:dyDescent="0.2">
      <c r="A373" s="2" t="s">
        <v>638</v>
      </c>
      <c r="B373" s="3">
        <v>1</v>
      </c>
      <c r="C373" s="5">
        <v>29.99</v>
      </c>
      <c r="D373" s="4">
        <v>29.99</v>
      </c>
      <c r="E373" s="3" t="s">
        <v>639</v>
      </c>
      <c r="F373" s="2" t="s">
        <v>32</v>
      </c>
      <c r="G373" s="2" t="s">
        <v>84</v>
      </c>
      <c r="H373" s="2"/>
      <c r="I373" s="2"/>
      <c r="J373" s="6"/>
    </row>
    <row r="374" spans="1:10" ht="53" x14ac:dyDescent="0.2">
      <c r="A374" s="2" t="s">
        <v>640</v>
      </c>
      <c r="B374" s="3">
        <v>1</v>
      </c>
      <c r="C374" s="5">
        <v>24.99</v>
      </c>
      <c r="D374" s="4">
        <v>24.99</v>
      </c>
      <c r="E374" s="3" t="s">
        <v>641</v>
      </c>
      <c r="F374" s="2" t="s">
        <v>69</v>
      </c>
      <c r="G374" s="2" t="s">
        <v>266</v>
      </c>
      <c r="H374" s="2"/>
      <c r="I374" s="2"/>
      <c r="J374" s="6"/>
    </row>
    <row r="375" spans="1:10" ht="53" x14ac:dyDescent="0.2">
      <c r="A375" s="2" t="s">
        <v>640</v>
      </c>
      <c r="B375" s="3">
        <v>1</v>
      </c>
      <c r="C375" s="5">
        <v>24.99</v>
      </c>
      <c r="D375" s="4">
        <v>24.99</v>
      </c>
      <c r="E375" s="3" t="s">
        <v>641</v>
      </c>
      <c r="F375" s="2" t="s">
        <v>69</v>
      </c>
      <c r="G375" s="2" t="s">
        <v>266</v>
      </c>
      <c r="H375" s="2"/>
      <c r="I375" s="2"/>
      <c r="J375" s="6"/>
    </row>
    <row r="376" spans="1:10" ht="40" x14ac:dyDescent="0.2">
      <c r="A376" s="2" t="s">
        <v>642</v>
      </c>
      <c r="B376" s="3">
        <v>1</v>
      </c>
      <c r="C376" s="5">
        <v>34</v>
      </c>
      <c r="D376" s="4">
        <v>34</v>
      </c>
      <c r="E376" s="3" t="s">
        <v>643</v>
      </c>
      <c r="F376" s="2" t="s">
        <v>483</v>
      </c>
      <c r="G376" s="2" t="s">
        <v>644</v>
      </c>
      <c r="H376" s="2"/>
      <c r="I376" s="2"/>
      <c r="J376" s="6"/>
    </row>
    <row r="377" spans="1:10" ht="53" x14ac:dyDescent="0.2">
      <c r="A377" s="2" t="s">
        <v>645</v>
      </c>
      <c r="B377" s="3">
        <v>3</v>
      </c>
      <c r="C377" s="5">
        <v>13.99</v>
      </c>
      <c r="D377" s="4">
        <v>41.97</v>
      </c>
      <c r="E377" s="3" t="s">
        <v>646</v>
      </c>
      <c r="F377" s="2" t="s">
        <v>76</v>
      </c>
      <c r="G377" s="2" t="s">
        <v>647</v>
      </c>
      <c r="H377" s="2"/>
      <c r="I377" s="2"/>
      <c r="J377" s="6"/>
    </row>
    <row r="378" spans="1:10" ht="53" x14ac:dyDescent="0.2">
      <c r="A378" s="2" t="s">
        <v>645</v>
      </c>
      <c r="B378" s="3">
        <v>2</v>
      </c>
      <c r="C378" s="5">
        <v>13.99</v>
      </c>
      <c r="D378" s="4">
        <v>27.98</v>
      </c>
      <c r="E378" s="3" t="s">
        <v>646</v>
      </c>
      <c r="F378" s="2" t="s">
        <v>76</v>
      </c>
      <c r="G378" s="2" t="s">
        <v>647</v>
      </c>
      <c r="H378" s="2"/>
      <c r="I378" s="2"/>
      <c r="J378" s="6"/>
    </row>
    <row r="379" spans="1:10" ht="53" x14ac:dyDescent="0.2">
      <c r="A379" s="2" t="s">
        <v>645</v>
      </c>
      <c r="B379" s="3">
        <v>3</v>
      </c>
      <c r="C379" s="5">
        <v>13.99</v>
      </c>
      <c r="D379" s="4">
        <v>41.97</v>
      </c>
      <c r="E379" s="3" t="s">
        <v>646</v>
      </c>
      <c r="F379" s="2" t="s">
        <v>76</v>
      </c>
      <c r="G379" s="2" t="s">
        <v>647</v>
      </c>
      <c r="H379" s="2"/>
      <c r="I379" s="2"/>
      <c r="J379" s="6"/>
    </row>
    <row r="380" spans="1:10" ht="40" x14ac:dyDescent="0.2">
      <c r="A380" s="2" t="s">
        <v>648</v>
      </c>
      <c r="B380" s="3">
        <v>1</v>
      </c>
      <c r="C380" s="5">
        <v>9.99</v>
      </c>
      <c r="D380" s="4">
        <v>9.99</v>
      </c>
      <c r="E380" s="3" t="s">
        <v>649</v>
      </c>
      <c r="F380" s="2" t="s">
        <v>40</v>
      </c>
      <c r="G380" s="2" t="s">
        <v>564</v>
      </c>
      <c r="H380" s="2"/>
      <c r="I380" s="2"/>
      <c r="J380" s="6"/>
    </row>
    <row r="381" spans="1:10" ht="40" x14ac:dyDescent="0.2">
      <c r="A381" s="2" t="s">
        <v>648</v>
      </c>
      <c r="B381" s="3">
        <v>2</v>
      </c>
      <c r="C381" s="5">
        <v>9.99</v>
      </c>
      <c r="D381" s="4">
        <v>19.98</v>
      </c>
      <c r="E381" s="3" t="s">
        <v>649</v>
      </c>
      <c r="F381" s="2" t="s">
        <v>40</v>
      </c>
      <c r="G381" s="2" t="s">
        <v>564</v>
      </c>
      <c r="H381" s="2"/>
      <c r="I381" s="2"/>
      <c r="J381" s="6"/>
    </row>
    <row r="382" spans="1:10" ht="40" x14ac:dyDescent="0.2">
      <c r="A382" s="2" t="s">
        <v>650</v>
      </c>
      <c r="B382" s="3">
        <v>4</v>
      </c>
      <c r="C382" s="5">
        <v>7.99</v>
      </c>
      <c r="D382" s="4">
        <v>31.96</v>
      </c>
      <c r="E382" s="3" t="s">
        <v>651</v>
      </c>
      <c r="F382" s="2" t="s">
        <v>557</v>
      </c>
      <c r="G382" s="2" t="s">
        <v>339</v>
      </c>
      <c r="H382" s="2"/>
      <c r="I382" s="2"/>
      <c r="J382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 elias abdou ramos</dc:creator>
  <cp:lastModifiedBy>fauzi elias abdou ramos</cp:lastModifiedBy>
  <dcterms:created xsi:type="dcterms:W3CDTF">2021-02-19T13:39:10Z</dcterms:created>
  <dcterms:modified xsi:type="dcterms:W3CDTF">2021-02-19T13:42:37Z</dcterms:modified>
</cp:coreProperties>
</file>