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uziabdou/Desktop/PAGINA WEB MANIFIESTO/"/>
    </mc:Choice>
  </mc:AlternateContent>
  <xr:revisionPtr revIDLastSave="0" documentId="8_{A972E59F-5E76-BB43-9ABA-7AE3AE03BEBD}" xr6:coauthVersionLast="46" xr6:coauthVersionMax="46" xr10:uidLastSave="{00000000-0000-0000-0000-000000000000}"/>
  <bookViews>
    <workbookView xWindow="300" yWindow="1640" windowWidth="27640" windowHeight="16940" xr2:uid="{9D8F41A3-3ACB-7542-A77D-2B0827C1AD9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4" i="1" l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</calcChain>
</file>

<file path=xl/sharedStrings.xml><?xml version="1.0" encoding="utf-8"?>
<sst xmlns="http://schemas.openxmlformats.org/spreadsheetml/2006/main" count="3124" uniqueCount="981">
  <si>
    <t>ITEM DESCRIPTION</t>
  </si>
  <si>
    <t>ORIGINAL QTY</t>
  </si>
  <si>
    <t>TOTAL ORIGINAL RETAIL</t>
  </si>
  <si>
    <t>VENDOR / STYLE #</t>
  </si>
  <si>
    <t>COLOR</t>
  </si>
  <si>
    <t>VENDOR NAME</t>
  </si>
  <si>
    <t>COUNTRY OF ORIGIN</t>
  </si>
  <si>
    <t>FABRIC CONTENT</t>
  </si>
  <si>
    <t>IMAGE</t>
  </si>
  <si>
    <t>GREY SHARK JACKET</t>
  </si>
  <si>
    <t>LMIS12MX0075</t>
  </si>
  <si>
    <t>GRAY</t>
  </si>
  <si>
    <t>LAUREN/PEERLESS CLOTHING</t>
  </si>
  <si>
    <t>IMPORTED</t>
  </si>
  <si>
    <t>WOOL</t>
  </si>
  <si>
    <t>NAVY PIN JKT</t>
  </si>
  <si>
    <t>LMIS12MX0151</t>
  </si>
  <si>
    <t>NAVY</t>
  </si>
  <si>
    <t>SHELL: WOOL; LINING: POLYESTER/VISCOSE</t>
  </si>
  <si>
    <t>JOPUN</t>
  </si>
  <si>
    <t>BM21385</t>
  </si>
  <si>
    <t>DARK GREEN</t>
  </si>
  <si>
    <t>BUFFALO JEANS/CENTRIC DENIM USA LLC</t>
  </si>
  <si>
    <t>BODY: NYLON; HOOD LINING: COTTON</t>
  </si>
  <si>
    <t>NVY WIDE PIN DB JKT</t>
  </si>
  <si>
    <t>LNIY12AM0052</t>
  </si>
  <si>
    <t>SHELL: WOOL/POLYESTER; LINING: POLYESTER/VISCOSE</t>
  </si>
  <si>
    <t>BLUE SCREEN JACKET</t>
  </si>
  <si>
    <t>KRIS1KJW0013</t>
  </si>
  <si>
    <t>MICHAEL MICHAEL KORS/PEERLESS CLOTH</t>
  </si>
  <si>
    <t>SHELL: WOOL; LINING: POLYESTER</t>
  </si>
  <si>
    <t>FIELD JACKET</t>
  </si>
  <si>
    <t>43NC500</t>
  </si>
  <si>
    <t>BLACK</t>
  </si>
  <si>
    <t>DKNY SPORTSWEAR/5 STAR APPAREL</t>
  </si>
  <si>
    <t>POLYESTER</t>
  </si>
  <si>
    <t>5620 ZIP KNEE SKINNY</t>
  </si>
  <si>
    <t>D01252-B634-89</t>
  </si>
  <si>
    <t>G-STAR RAW/G-STAR INC</t>
  </si>
  <si>
    <t>COTTON/ELASTOMULTIESTER/ELASTANE</t>
  </si>
  <si>
    <t>HIKER SHERPA VEST</t>
  </si>
  <si>
    <t>78E3133</t>
  </si>
  <si>
    <t>BRNOVERFLW</t>
  </si>
  <si>
    <t>TOMMY HILFIGER</t>
  </si>
  <si>
    <t>BLUE PLAID</t>
  </si>
  <si>
    <t>LETO12FA0281</t>
  </si>
  <si>
    <t>LT/PASBLUE</t>
  </si>
  <si>
    <t>SHELL: WOOL/SILK/LINEN; LINING: POLYESTER/VISCOSE</t>
  </si>
  <si>
    <t>SIMMONS182 10217983</t>
  </si>
  <si>
    <t>DARK GRAY</t>
  </si>
  <si>
    <t>HUGO HUGO BOSS/HUGO BOSS FASHIONS</t>
  </si>
  <si>
    <t>BLAC M NK WILD RUN AEROLA</t>
  </si>
  <si>
    <t>BV5619</t>
  </si>
  <si>
    <t>CHARCOAL</t>
  </si>
  <si>
    <t>NIKE USA INC</t>
  </si>
  <si>
    <t>SHELL: NYLON; PANELS: POLYESTER/SPANDEX; LINING, FILL: POLYESTER</t>
  </si>
  <si>
    <t>GREY SHARKSKIN JACKE BASIC</t>
  </si>
  <si>
    <t>TNSY1QHZ02</t>
  </si>
  <si>
    <t>ALFANI RED/PEERLESS CLOTHING</t>
  </si>
  <si>
    <t>SHELL: POLYESTER/RAYON/LYCRA® SPANDEX; LINING: POLYESTER</t>
  </si>
  <si>
    <t>NAVY JACKET BASIC</t>
  </si>
  <si>
    <t>TNSY1QHZ01</t>
  </si>
  <si>
    <t>F18 BLUE WINDOWPANE</t>
  </si>
  <si>
    <t>CASS2MBV0330</t>
  </si>
  <si>
    <t>ANDREW MARC/PEERLESS CLOTHING</t>
  </si>
  <si>
    <t>SHELL: POLYESTER/RAYON/SPANDEX; LINING: POLYESTER/VISCOSE</t>
  </si>
  <si>
    <t>F18 NAVY PINDOT</t>
  </si>
  <si>
    <t>TLVA2VMX0034</t>
  </si>
  <si>
    <t>VAN HEUSEN/PEERLESS CLOTHING INTL</t>
  </si>
  <si>
    <t>BLUE- SHELL: POLYESTER/VISCOSE/SPANDEX; JACKET LINING:</t>
  </si>
  <si>
    <t>F18 BURGUNDY SOLID</t>
  </si>
  <si>
    <t>TLVA2VMX0036</t>
  </si>
  <si>
    <t>DARK RED</t>
  </si>
  <si>
    <t>CLASSIC FIT NEWPORT</t>
  </si>
  <si>
    <t>POLO RALPH LAUREN</t>
  </si>
  <si>
    <t>LINEN/LYOCELL/COTTON</t>
  </si>
  <si>
    <t>TODD SLIM TOPCOAT</t>
  </si>
  <si>
    <t>RED</t>
  </si>
  <si>
    <t>INC-MMG</t>
  </si>
  <si>
    <t>SHELL: WOOL/POLYESTER; LINING: POLYESTER</t>
  </si>
  <si>
    <t>LT GREY/BLUE WINDOW</t>
  </si>
  <si>
    <t>LSST14DX0401</t>
  </si>
  <si>
    <t>SHELL: LINEN; LINING: POLYESTER/RAYON</t>
  </si>
  <si>
    <t>BLUE PLAID CORD</t>
  </si>
  <si>
    <t>TVTR1AUH0011</t>
  </si>
  <si>
    <t>BLUE</t>
  </si>
  <si>
    <t>TOMMY HILFIGER/PEERLESS CLOTHING</t>
  </si>
  <si>
    <t>SHELL: COTTON/SPANDEX; LINING: POLYESTER</t>
  </si>
  <si>
    <t>TNF M VENTURE 2 JACKET T</t>
  </si>
  <si>
    <t>NF0A2VD3KX7</t>
  </si>
  <si>
    <t>NORTH FACE/VF OUTDOOR INC/V F CORP</t>
  </si>
  <si>
    <t>SHELL: NYLON; POCKET BAG: POLYESTER</t>
  </si>
  <si>
    <t>TAN</t>
  </si>
  <si>
    <t>LETO14RX0604</t>
  </si>
  <si>
    <t>BEIGE</t>
  </si>
  <si>
    <t>POLYESTER/RAYON/LINEN</t>
  </si>
  <si>
    <t>TRUCKER DARTH VADER</t>
  </si>
  <si>
    <t>LEVI STRAUSS</t>
  </si>
  <si>
    <t>100% COTTON</t>
  </si>
  <si>
    <t>LS OMBRE TIGER JACQ SWTR</t>
  </si>
  <si>
    <t>M94R62R1TP1</t>
  </si>
  <si>
    <t>LT/PAS BWN</t>
  </si>
  <si>
    <t>GUESS INC</t>
  </si>
  <si>
    <t>RAYON/POLYESTER/NYLON</t>
  </si>
  <si>
    <t>RESOLVE JACKET</t>
  </si>
  <si>
    <t>NF0A2VD5CZ6</t>
  </si>
  <si>
    <t>DARK BLUE</t>
  </si>
  <si>
    <t>BODY: NYLON; LINING, MESH: POLYESTER</t>
  </si>
  <si>
    <t>LONG SLEEVE ZIP UP HOODE</t>
  </si>
  <si>
    <t>3HZMFMZ8M8Z1200</t>
  </si>
  <si>
    <t>ARMANI EXCHANGE/GIORGIO ARMANI CORP</t>
  </si>
  <si>
    <t>PIMA COTTON-LS VN PP-LON</t>
  </si>
  <si>
    <t>ALL COTTON</t>
  </si>
  <si>
    <t>BASIC MESH</t>
  </si>
  <si>
    <t>LTD ED 5 OCLOCK POLO LS</t>
  </si>
  <si>
    <t>T223501</t>
  </si>
  <si>
    <t>PURPLE</t>
  </si>
  <si>
    <t>TOMMY BAHAMA GROUP INC</t>
  </si>
  <si>
    <t>COTTON/POLYESTER</t>
  </si>
  <si>
    <t>NAVY PLAID</t>
  </si>
  <si>
    <t>KELS1K2Y0726</t>
  </si>
  <si>
    <t>SHELL: POLYESTER/RAYON/SPANDEX; LINING: POLYESTER</t>
  </si>
  <si>
    <t>PRECIP ECO JACKET</t>
  </si>
  <si>
    <t>41500-2707</t>
  </si>
  <si>
    <t>BRIGHTBLUE</t>
  </si>
  <si>
    <t>MARMOT MOUNTAIN LLC</t>
  </si>
  <si>
    <t>RECYCLED NYLON; LINING: POLYESTER</t>
  </si>
  <si>
    <t>MARITIME MARLIN FLIP CRE</t>
  </si>
  <si>
    <t>T223155</t>
  </si>
  <si>
    <t>SWEATER</t>
  </si>
  <si>
    <t>AH7003</t>
  </si>
  <si>
    <t>LACOSTE USA</t>
  </si>
  <si>
    <t>COTTON; RIB EDGE: COTTON/POLYAMIDE/ELASTANE</t>
  </si>
  <si>
    <t>EVAN-X DENIM PANT</t>
  </si>
  <si>
    <t>BPMD00488</t>
  </si>
  <si>
    <t>COBA ALEXA BT SPKRS</t>
  </si>
  <si>
    <t>IMA700-CB</t>
  </si>
  <si>
    <t>SAKAR INTERNATIONAL INC</t>
  </si>
  <si>
    <t>MADE IN CHINA</t>
  </si>
  <si>
    <t>PLASTIC</t>
  </si>
  <si>
    <t>COMFORTABLE LOOSE JERSEY</t>
  </si>
  <si>
    <t>3HZPFMZ8M8Z1200</t>
  </si>
  <si>
    <t>361 ALISA VIEJO BASIC</t>
  </si>
  <si>
    <t>7M12279</t>
  </si>
  <si>
    <t>LUCKY BRAND DUNGAREES LLC</t>
  </si>
  <si>
    <t>COTTON/POLYESTER/ELASTANE</t>
  </si>
  <si>
    <t>DD TECH CHINO PANT</t>
  </si>
  <si>
    <t>78E7044</t>
  </si>
  <si>
    <t>MED BLUE</t>
  </si>
  <si>
    <t>FUGREEN</t>
  </si>
  <si>
    <t>BM21638</t>
  </si>
  <si>
    <t>BLUE SCREEN PANT</t>
  </si>
  <si>
    <t>MCHUPX9X0013</t>
  </si>
  <si>
    <t>OCEA 181 RELAXED STRT BASIC</t>
  </si>
  <si>
    <t>7M12358</t>
  </si>
  <si>
    <t>COTTON/ELASTANE</t>
  </si>
  <si>
    <t>LOGAN PLAID TOPCOAT</t>
  </si>
  <si>
    <t>SHELL: POLYESTER/ACRYLIC/WOOL/RAYON/NYLON; LINING: POLYESTER</t>
  </si>
  <si>
    <t>JESTER BACKPACK</t>
  </si>
  <si>
    <t>NF0A3KV7YJW</t>
  </si>
  <si>
    <t>511 COMM PRESIDIO GREEN</t>
  </si>
  <si>
    <t>GREEN</t>
  </si>
  <si>
    <t>S/S CHAMBRAY BLOCKED PLA</t>
  </si>
  <si>
    <t>HW193417</t>
  </si>
  <si>
    <t>SEAN JOHN BIG&amp;TALL/PACIFIC ALLIANCE</t>
  </si>
  <si>
    <t>S93317-FULL ZIP MOCK</t>
  </si>
  <si>
    <t>S93317</t>
  </si>
  <si>
    <t>WHITE</t>
  </si>
  <si>
    <t>NAUTICA OPCO LLC</t>
  </si>
  <si>
    <t>511 SLIM WINETASTING</t>
  </si>
  <si>
    <t>502 TAPER TANAGER</t>
  </si>
  <si>
    <t>514 VERITABLE</t>
  </si>
  <si>
    <t>512 OLIVE NIGHT TENCEL</t>
  </si>
  <si>
    <t>COTTON/LYOCELL/ELASTANE</t>
  </si>
  <si>
    <t>514 CHIAPAS</t>
  </si>
  <si>
    <t>MS BANDED CARGO BLK</t>
  </si>
  <si>
    <t>COTTON/POLYAMIDE/ELASTANE</t>
  </si>
  <si>
    <t>CHINO - NEUTRAL</t>
  </si>
  <si>
    <t>NATURAL</t>
  </si>
  <si>
    <t>DOCKERS/LEVI STRAUSS</t>
  </si>
  <si>
    <t>BEIGEKHAKI</t>
  </si>
  <si>
    <t>CUSTOM FIT CHINO PANT</t>
  </si>
  <si>
    <t>78E5347</t>
  </si>
  <si>
    <t>BLUE PLAID PANT</t>
  </si>
  <si>
    <t>VVNEPW7Y0081</t>
  </si>
  <si>
    <t>TALLIA/PEERLESS CLOTHING</t>
  </si>
  <si>
    <t>ALL LINEN</t>
  </si>
  <si>
    <t>SIGOUL</t>
  </si>
  <si>
    <t>BM21681</t>
  </si>
  <si>
    <t>LS REG WOOL COTTON SOLID</t>
  </si>
  <si>
    <t>35S1700</t>
  </si>
  <si>
    <t>MICHAEL KORS/DESIGNER/VAN HEUSEN</t>
  </si>
  <si>
    <t>COTTON/WOOL</t>
  </si>
  <si>
    <t>BLUE SLIM PRINT</t>
  </si>
  <si>
    <t>35S1529</t>
  </si>
  <si>
    <t>TURQ/AQUA</t>
  </si>
  <si>
    <t>BROW 1 1/2 SAVANNAH BRD</t>
  </si>
  <si>
    <t>DARK BROWN</t>
  </si>
  <si>
    <t>POLO RALPH LAUREN LEATHERGOODS</t>
  </si>
  <si>
    <t>LEATHER</t>
  </si>
  <si>
    <t>559 TUMBLED RIGID</t>
  </si>
  <si>
    <t>501 LIGHT STONEWASH</t>
  </si>
  <si>
    <t>SNAP CARGO HARV GOLD</t>
  </si>
  <si>
    <t>GOLD</t>
  </si>
  <si>
    <t>LTWEIGHT PUFF SIDE PANEL</t>
  </si>
  <si>
    <t>116AN265</t>
  </si>
  <si>
    <t>MED GREEN</t>
  </si>
  <si>
    <t>GUESS/WINLET/G III</t>
  </si>
  <si>
    <t>SHELL: NYLON; LINING AND TRIM: POLYESTER</t>
  </si>
  <si>
    <t>OVERBOUND JACKET</t>
  </si>
  <si>
    <t>INC MENS-MMG</t>
  </si>
  <si>
    <t>SHELL, FAUX FUR LINING AND SLEEVES: POLYESTER</t>
  </si>
  <si>
    <t>GRYF M NK THRMA QZ VENEER</t>
  </si>
  <si>
    <t>CJ7661</t>
  </si>
  <si>
    <t>LEATHER KEY FOB</t>
  </si>
  <si>
    <t>WW LLC-MAUGAN SRL</t>
  </si>
  <si>
    <t>MADE IN THAILAND</t>
  </si>
  <si>
    <t>ARMOUR FLEECE 1/4 ZIP</t>
  </si>
  <si>
    <t>UNDER ARMOUR</t>
  </si>
  <si>
    <t>100% POLYESTERIMPORTED</t>
  </si>
  <si>
    <t>GRAY REG SOLID</t>
  </si>
  <si>
    <t>33K4678</t>
  </si>
  <si>
    <t>CALVIN KLEIN/VAN HEUSEN</t>
  </si>
  <si>
    <t>PURPLE SLIM SOLID</t>
  </si>
  <si>
    <t>33K4312</t>
  </si>
  <si>
    <t>DARKPURPLE</t>
  </si>
  <si>
    <t>STEEL STRETCH RF NNI CHE</t>
  </si>
  <si>
    <t>33K4681</t>
  </si>
  <si>
    <t>BLUE REG STRIPE</t>
  </si>
  <si>
    <t>33K4675</t>
  </si>
  <si>
    <t>DECKHAND SS SHIRT</t>
  </si>
  <si>
    <t>CSHL77</t>
  </si>
  <si>
    <t>RIP CURL USA</t>
  </si>
  <si>
    <t>BURDON JACKET</t>
  </si>
  <si>
    <t>WINE</t>
  </si>
  <si>
    <t>STRIPE CLUB CRUZER</t>
  </si>
  <si>
    <t>SP9106022</t>
  </si>
  <si>
    <t>O'NEILL SPORTSWEAR</t>
  </si>
  <si>
    <t>POLYESTER/NYLON/COTTON/ELASTANE</t>
  </si>
  <si>
    <t>569 WHITE</t>
  </si>
  <si>
    <t>LS NI SLIM FIT DOBBY</t>
  </si>
  <si>
    <t>33K2479</t>
  </si>
  <si>
    <t>GREY REG CHECK</t>
  </si>
  <si>
    <t>SILVER</t>
  </si>
  <si>
    <t>DKNY/DESIGNER GROUP</t>
  </si>
  <si>
    <t>LS SLM NI STRETCH</t>
  </si>
  <si>
    <t>24N1447</t>
  </si>
  <si>
    <t>TOMMY HILFIGER/DESIGNER GROUP</t>
  </si>
  <si>
    <t>STEEL EXTREME SLIM</t>
  </si>
  <si>
    <t>33K4074</t>
  </si>
  <si>
    <t>LS ATHLETIC STRETCH</t>
  </si>
  <si>
    <t>24N1464</t>
  </si>
  <si>
    <t>POLYESTER/COTTON/ELASTANE</t>
  </si>
  <si>
    <t>24N1465</t>
  </si>
  <si>
    <t>BRIGHT GRN</t>
  </si>
  <si>
    <t>LS SLM FIT STRETCH</t>
  </si>
  <si>
    <t>24N1521</t>
  </si>
  <si>
    <t>SUPIMA® COTTON/ELASTANE</t>
  </si>
  <si>
    <t>24N1505</t>
  </si>
  <si>
    <t>24N1522</t>
  </si>
  <si>
    <t>STEE LS NI CTTN TWILL/SPD</t>
  </si>
  <si>
    <t>35S0673</t>
  </si>
  <si>
    <t>MED GRAY</t>
  </si>
  <si>
    <t>LS REG NI STRETCH</t>
  </si>
  <si>
    <t>24N1455</t>
  </si>
  <si>
    <t>WHITE LINEN PANT BASIC</t>
  </si>
  <si>
    <t>MFIDPMHX0101</t>
  </si>
  <si>
    <t>SEAN JOHN/PEERLESS CLOTHING INTL</t>
  </si>
  <si>
    <t>LINEN/RAYON</t>
  </si>
  <si>
    <t>BEAST JEAN SLMST BASIC</t>
  </si>
  <si>
    <t>6N663540</t>
  </si>
  <si>
    <t>FAUX LEATHER: POLYURETHANE</t>
  </si>
  <si>
    <t>LS POPLIN GEO PRINT SHIR</t>
  </si>
  <si>
    <t>40VC110</t>
  </si>
  <si>
    <t>CALVIN KLEIN SP/PHILLIPS-VAN HEUSEN</t>
  </si>
  <si>
    <t>JJICLARK JJORIGINAL AM 7</t>
  </si>
  <si>
    <t>ONLY &amp; SONS/BESTSELLER WHOLESALE US</t>
  </si>
  <si>
    <t>COTTON BLEND</t>
  </si>
  <si>
    <t>MID BLUE PANT</t>
  </si>
  <si>
    <t>MEOLPQ3Z03</t>
  </si>
  <si>
    <t>POLYESTER/RAYON/LYCRAÂ® SPANDEX; LINING: POLYESTER</t>
  </si>
  <si>
    <t>NAVY PANT BASIC</t>
  </si>
  <si>
    <t>MEOLPQ3Z01</t>
  </si>
  <si>
    <t>BLACK SOLID PANT BASIC</t>
  </si>
  <si>
    <t>MEOLPQ3Z00</t>
  </si>
  <si>
    <t>GREY SHARKSKIN PANT BASIC</t>
  </si>
  <si>
    <t>MEOLPQ3Z02</t>
  </si>
  <si>
    <t>P01100 CLASSIC F DECK PA</t>
  </si>
  <si>
    <t>P01100</t>
  </si>
  <si>
    <t>BRAM TI PULLOVER</t>
  </si>
  <si>
    <t>GK6135</t>
  </si>
  <si>
    <t>ADIDAS AMERICA INC</t>
  </si>
  <si>
    <t>BERMUDA STRIPE BUCKET</t>
  </si>
  <si>
    <t>K3326ST</t>
  </si>
  <si>
    <t>MEDIUM RED</t>
  </si>
  <si>
    <t>KANGOL/BOLLMAN HAT CO - CONSIGNMENT</t>
  </si>
  <si>
    <t>ACRYLIC/MODACRYLIC/NYLON/POLYESTER</t>
  </si>
  <si>
    <t>LS ATHLETIC FLEX</t>
  </si>
  <si>
    <t>24N0433</t>
  </si>
  <si>
    <t>GARRETT POLO SHIRT</t>
  </si>
  <si>
    <t>LT-139</t>
  </si>
  <si>
    <t>LE TIGRE/REASON BRAND INC</t>
  </si>
  <si>
    <t>COTTON</t>
  </si>
  <si>
    <t>LOGO PRINTED POLO</t>
  </si>
  <si>
    <t>40M6895</t>
  </si>
  <si>
    <t>CREW EMBROIDERY LOGO</t>
  </si>
  <si>
    <t>40Q4008</t>
  </si>
  <si>
    <t>DARKORANGE</t>
  </si>
  <si>
    <t>LILAC DOBBY CHECK</t>
  </si>
  <si>
    <t>RSD101RA085</t>
  </si>
  <si>
    <t>MED PURPLE</t>
  </si>
  <si>
    <t>RYAN SEACREST/ITOCHU PROMINENT USA</t>
  </si>
  <si>
    <t>LT GREY SOLID</t>
  </si>
  <si>
    <t>RST101AT688</t>
  </si>
  <si>
    <t>LT/PAS GRY</t>
  </si>
  <si>
    <t>POLYESTER/SPANDEX</t>
  </si>
  <si>
    <t>KUMQ M NK DRY TOP LS PX</t>
  </si>
  <si>
    <t>BV4538</t>
  </si>
  <si>
    <t>ORANGE</t>
  </si>
  <si>
    <t>BODY, MESH: RECYCLED POLYESTER/COTTON/RAYON</t>
  </si>
  <si>
    <t>GREY BIG SOLID STRETCH</t>
  </si>
  <si>
    <t>33K4194</t>
  </si>
  <si>
    <t>GLENNAKER LAKE RAIN JACKE</t>
  </si>
  <si>
    <t>YELLOW</t>
  </si>
  <si>
    <t>FIELD GEAR/COLUMBIA BRANDS USA, LLC</t>
  </si>
  <si>
    <t>PURPLE SLIM PRINT</t>
  </si>
  <si>
    <t>32R2716</t>
  </si>
  <si>
    <t>KENNETH COLE REACTION/VAN HEUSEN</t>
  </si>
  <si>
    <t>PINK SLIM CHECK</t>
  </si>
  <si>
    <t>33K4417</t>
  </si>
  <si>
    <t>PINK</t>
  </si>
  <si>
    <t>LS SLM TKFIT STRETCH PRI</t>
  </si>
  <si>
    <t>32R2731</t>
  </si>
  <si>
    <t>LS SLM TKFIT STRETCH</t>
  </si>
  <si>
    <t>32R2705</t>
  </si>
  <si>
    <t>DARK PINK</t>
  </si>
  <si>
    <t>ESS WOVEN OPEN PANT</t>
  </si>
  <si>
    <t>DZ8482</t>
  </si>
  <si>
    <t>RECYCLED POLYESTER</t>
  </si>
  <si>
    <t>RBISPR2Z0004</t>
  </si>
  <si>
    <t>RYAN SEACREST/PEERLESS CLOTHING</t>
  </si>
  <si>
    <t>POLYESTER/VISCOSE/ELASTANE</t>
  </si>
  <si>
    <t>TICAR</t>
  </si>
  <si>
    <t>BM21594</t>
  </si>
  <si>
    <t>SIGNATURE STRAIGHT CREAS</t>
  </si>
  <si>
    <t>TEE-SHIRT</t>
  </si>
  <si>
    <t>TH6710</t>
  </si>
  <si>
    <t>LT BEIGE</t>
  </si>
  <si>
    <t>MARK MIX S/S</t>
  </si>
  <si>
    <t>A0412011</t>
  </si>
  <si>
    <t>VOLCOM INC</t>
  </si>
  <si>
    <t>WHT- ARMOUR HG LS COMP</t>
  </si>
  <si>
    <t>BODY: 5.0 OZ. 90% POLYESTER/10% ELASTANEMESH: 4.6 OZ. 88% POLYESTER/12% ELASTANEIMPORTED</t>
  </si>
  <si>
    <t>BLK- ARMOUR HG LS COMP</t>
  </si>
  <si>
    <t>BESTED KNIT JACKET</t>
  </si>
  <si>
    <t>TH FLEX GREY NAVY PLAID</t>
  </si>
  <si>
    <t>BOJOPH6A0021</t>
  </si>
  <si>
    <t>PLACED MODERN VARSITY CA</t>
  </si>
  <si>
    <t>1CK0600</t>
  </si>
  <si>
    <t>CALVIN KLEIN/VAN HEUSEN CLD WTHR</t>
  </si>
  <si>
    <t>ACRYLIC</t>
  </si>
  <si>
    <t>CK SKINNY FASHION BLUE</t>
  </si>
  <si>
    <t>JAYDPJSY0781</t>
  </si>
  <si>
    <t>CK/PEERLESS CLOTHING INT'L</t>
  </si>
  <si>
    <t>POLYESTER/RAYON/SPANDEX</t>
  </si>
  <si>
    <t>TASSO</t>
  </si>
  <si>
    <t>3LGLW1546</t>
  </si>
  <si>
    <t>LEVI/HYBRID PROMOTIONS</t>
  </si>
  <si>
    <t>501 DARK STONEWASH</t>
  </si>
  <si>
    <t>MATRIX JEAN SKNY BASIC</t>
  </si>
  <si>
    <t>CALVIN KLEIN MENS SLIM-F</t>
  </si>
  <si>
    <t>JMROPJ7YX031</t>
  </si>
  <si>
    <t>JMROPJ7YX030</t>
  </si>
  <si>
    <t>32R2680</t>
  </si>
  <si>
    <t>CRANCE</t>
  </si>
  <si>
    <t>3LGLW1552</t>
  </si>
  <si>
    <t>SEERSUCKER PANT</t>
  </si>
  <si>
    <t>NVELPDXX0011</t>
  </si>
  <si>
    <t>COTTON/SPANDEX</t>
  </si>
  <si>
    <t>MOTO UTILITY SLMST</t>
  </si>
  <si>
    <t>COTTON/SPANDEX; TRIM: FAUX LEATHER: POLYURETHANE</t>
  </si>
  <si>
    <t>TOBALL</t>
  </si>
  <si>
    <t>BM21637</t>
  </si>
  <si>
    <t>TOROLL</t>
  </si>
  <si>
    <t>BM21118</t>
  </si>
  <si>
    <t>BRIGHT PUR</t>
  </si>
  <si>
    <t>RGCY M NK SHORT HBR</t>
  </si>
  <si>
    <t>SHADE TRACK JACKET</t>
  </si>
  <si>
    <t>SHELL: POLYESTER/RAYON/SPANDEX; INSERT FACE: COTTON/POLYESTER; BACK: COTTON; FILLING: POLYESTER</t>
  </si>
  <si>
    <t>NVL INTERLOCK JOGGER</t>
  </si>
  <si>
    <t>IDEOLOGY-MMG/ACTIVEWEAR FASHION</t>
  </si>
  <si>
    <t>MICRO MELANGE CAVIAR BASIC</t>
  </si>
  <si>
    <t>PG7F018</t>
  </si>
  <si>
    <t>PERRY ELLIS/SALANT CORPORATION</t>
  </si>
  <si>
    <t>STONEWASH CREW</t>
  </si>
  <si>
    <t>S2040120ME</t>
  </si>
  <si>
    <t>MED BEIGE</t>
  </si>
  <si>
    <t>WEATHERPROOF VINTAGE/WTHRPRF GARMNT</t>
  </si>
  <si>
    <t>Comfort Black Metal FF</t>
  </si>
  <si>
    <t>ROSA LS WOVEN</t>
  </si>
  <si>
    <t>3LGLW1907</t>
  </si>
  <si>
    <t>ROSA</t>
  </si>
  <si>
    <t>REDOVERFLW</t>
  </si>
  <si>
    <t>TH FLEX RED</t>
  </si>
  <si>
    <t>TTEAPH1A0054</t>
  </si>
  <si>
    <t>RAYON/NYLON/SPANDEX</t>
  </si>
  <si>
    <t>GREY GLEN PLAID</t>
  </si>
  <si>
    <t>NRTNPCPY0113</t>
  </si>
  <si>
    <t>POLYESTER/VISCOSE/LYCRA® SPANDEX</t>
  </si>
  <si>
    <t>MICROCHECK GREY</t>
  </si>
  <si>
    <t>JMROPJSYX549</t>
  </si>
  <si>
    <t>GREY WINDOWPANE</t>
  </si>
  <si>
    <t>NRTNPCPY0150</t>
  </si>
  <si>
    <t>TH FLEX OLIVE GREEN</t>
  </si>
  <si>
    <t>TTEAPH1A0055</t>
  </si>
  <si>
    <t>MINIGRID CHARCOAL</t>
  </si>
  <si>
    <t>JMROPJSYX546</t>
  </si>
  <si>
    <t>MONTGOMERY CAMO MOTO BASIC</t>
  </si>
  <si>
    <t>MILITARY BTTN MOCK</t>
  </si>
  <si>
    <t>F95990ME</t>
  </si>
  <si>
    <t>BLAC BT EASY KHAKI STRCH</t>
  </si>
  <si>
    <t>LS REGULAR FIT PRINT</t>
  </si>
  <si>
    <t>SEAN JOHN/DESIGNER/VAN HEUSEN</t>
  </si>
  <si>
    <t>L/S MARC PLAID SHIRT</t>
  </si>
  <si>
    <t>EASY KHAKI STRCH CLS</t>
  </si>
  <si>
    <t>JERSEY COTTON STRETCH CH</t>
  </si>
  <si>
    <t>6GZTBVZJE6Z1507</t>
  </si>
  <si>
    <t>POCKET CREW SWEATER</t>
  </si>
  <si>
    <t>100066856MN</t>
  </si>
  <si>
    <t>AMERICAN RAG-MMG</t>
  </si>
  <si>
    <t>LS JAQUARD GEO</t>
  </si>
  <si>
    <t>100064214MN</t>
  </si>
  <si>
    <t>LS WF REG TKFT STRET</t>
  </si>
  <si>
    <t>20F6617</t>
  </si>
  <si>
    <t>LT/PAS RED</t>
  </si>
  <si>
    <t>VAN HEUSEN</t>
  </si>
  <si>
    <t>20F6621</t>
  </si>
  <si>
    <t>LS REG FLEX CHECK PRPL</t>
  </si>
  <si>
    <t>20F6668</t>
  </si>
  <si>
    <t>LS WF REG STRETCH CHECK</t>
  </si>
  <si>
    <t>20F6643</t>
  </si>
  <si>
    <t>LS REG FLEX CHECK GREY</t>
  </si>
  <si>
    <t>20F6675</t>
  </si>
  <si>
    <t>PURPLE REG PRINT</t>
  </si>
  <si>
    <t>20F6569</t>
  </si>
  <si>
    <t>20F6669</t>
  </si>
  <si>
    <t>20F6618</t>
  </si>
  <si>
    <t>DARK MOTO JEAN</t>
  </si>
  <si>
    <t>RICHLAND TARTAN</t>
  </si>
  <si>
    <t>CLUBROOM-MMG</t>
  </si>
  <si>
    <t>ALL OVER PRINT TEE</t>
  </si>
  <si>
    <t>LT-50-W</t>
  </si>
  <si>
    <t>MADE IN USA</t>
  </si>
  <si>
    <t>PROPS SWEATER</t>
  </si>
  <si>
    <t>KNIT ALL OVER PONY PLAYE</t>
  </si>
  <si>
    <t>PK08HRK12</t>
  </si>
  <si>
    <t>POLO/HANESBRANDS INC</t>
  </si>
  <si>
    <t>LARKIN TEE</t>
  </si>
  <si>
    <t>LT-141</t>
  </si>
  <si>
    <t>MYERS SWEATER</t>
  </si>
  <si>
    <t>LS BLANKET STRIPE</t>
  </si>
  <si>
    <t>100063125MN</t>
  </si>
  <si>
    <t>FAIRISLE CREW</t>
  </si>
  <si>
    <t>100077003MN</t>
  </si>
  <si>
    <t>SHLDR STRP TRCK JCKT</t>
  </si>
  <si>
    <t>100038106R</t>
  </si>
  <si>
    <t>IDEOLOGY-RWI-MMG/ECLAT</t>
  </si>
  <si>
    <t>MULT CAMO TEE</t>
  </si>
  <si>
    <t>ED6954</t>
  </si>
  <si>
    <t>WHIT M NP TOP SS FTTD</t>
  </si>
  <si>
    <t>BRING UP CARDIGAN</t>
  </si>
  <si>
    <t>COTTON/ACRYLIC</t>
  </si>
  <si>
    <t>MERINO SOLID 1/4 ZIP</t>
  </si>
  <si>
    <t>100062317MN</t>
  </si>
  <si>
    <t>WOOL/ACRYLIC</t>
  </si>
  <si>
    <t>LS BRUSHED BD ANTIQUE FL</t>
  </si>
  <si>
    <t>F985027ME</t>
  </si>
  <si>
    <t>SFR TWILL PIN STRIPE</t>
  </si>
  <si>
    <t>100020516MN</t>
  </si>
  <si>
    <t>MMG-TASSO ELBA</t>
  </si>
  <si>
    <t>TITO EDV SKNY BASIC</t>
  </si>
  <si>
    <t>COTTON/POLYESTER/SPANDEX</t>
  </si>
  <si>
    <t>LS TODD SHIRT</t>
  </si>
  <si>
    <t>LYOCELL</t>
  </si>
  <si>
    <t>STITCH SHAWL SWEATER</t>
  </si>
  <si>
    <t>100066850MN</t>
  </si>
  <si>
    <t>WSFR TWILL BAR STRIP</t>
  </si>
  <si>
    <t>100049656MN</t>
  </si>
  <si>
    <t>PLAID VEE</t>
  </si>
  <si>
    <t>100074725MN</t>
  </si>
  <si>
    <t>ALFANI-MMG</t>
  </si>
  <si>
    <t>EZRA EDV SLM ST BASIC</t>
  </si>
  <si>
    <t>INC FLYP-MMG</t>
  </si>
  <si>
    <t>GALE EDV JEAN BOOT BASIC</t>
  </si>
  <si>
    <t>4N650DW540</t>
  </si>
  <si>
    <t>JAQUARD KNIT CUFFED</t>
  </si>
  <si>
    <t>43JH901</t>
  </si>
  <si>
    <t>FX NPA SLKHT KNIT M</t>
  </si>
  <si>
    <t>661M2</t>
  </si>
  <si>
    <t>TOTES ISOTONER CORP</t>
  </si>
  <si>
    <t>SHELL FACE: POLYURETHANE; SHELL BACK, LINING, LINING BACK, LINING PALM: POLYESTER; FOURCHETTES: NYLON/SPANDEX; CUFF: ACRYLIC</t>
  </si>
  <si>
    <t>COOL PRO CLASSIC PLT SHO</t>
  </si>
  <si>
    <t>HS00439</t>
  </si>
  <si>
    <t>HAGGAR CO</t>
  </si>
  <si>
    <t>LS CAMO GRINDLE</t>
  </si>
  <si>
    <t>100077078MN</t>
  </si>
  <si>
    <t>LS LEXE JCQD</t>
  </si>
  <si>
    <t>100069861MN</t>
  </si>
  <si>
    <t>COTTON/POLYESTER/OTHER FIBERS</t>
  </si>
  <si>
    <t>CRINKLE LS CREW</t>
  </si>
  <si>
    <t>100073574MN</t>
  </si>
  <si>
    <t>AMERA LEAF PRINT</t>
  </si>
  <si>
    <t>100087751MN</t>
  </si>
  <si>
    <t>TASSO ELBA-EDI/TASSO ISLAND</t>
  </si>
  <si>
    <t>SILK/RAYON</t>
  </si>
  <si>
    <t>BONES BEANIE</t>
  </si>
  <si>
    <t>NF0A3FNSLR0</t>
  </si>
  <si>
    <t>MED YELLOW</t>
  </si>
  <si>
    <t>SHELL: ACRYLIC; LINING: MICRO-FLEECE</t>
  </si>
  <si>
    <t>BLACK SNAKE SKIN PRINT D</t>
  </si>
  <si>
    <t>TLO9FDC265-001</t>
  </si>
  <si>
    <t>TALLIA/A W CHANG CORPORATION</t>
  </si>
  <si>
    <t>MERINO SOLID V-NECK</t>
  </si>
  <si>
    <t>100062315MN</t>
  </si>
  <si>
    <t>MERINO SOLID CREW</t>
  </si>
  <si>
    <t>100062316MN</t>
  </si>
  <si>
    <t>OVERSIZED BUFFALO CHECK</t>
  </si>
  <si>
    <t>H8C83509</t>
  </si>
  <si>
    <t>TOMMY HILFIGER/PVH NECKWEAR INC</t>
  </si>
  <si>
    <t>SP TALL BEDFORD CORD</t>
  </si>
  <si>
    <t>100027597TL</t>
  </si>
  <si>
    <t>BROWN</t>
  </si>
  <si>
    <t>MMG-ALFANI</t>
  </si>
  <si>
    <t>COTTON/NYLON/SPANDEX</t>
  </si>
  <si>
    <t>SATEEN SOLID BASIC</t>
  </si>
  <si>
    <t>AF00510197</t>
  </si>
  <si>
    <t>MMG-ALFANI/BESPOKE FASHION</t>
  </si>
  <si>
    <t>SILK</t>
  </si>
  <si>
    <t>FLAMINGOS PRM TEE SS</t>
  </si>
  <si>
    <t>MTSPFGOM</t>
  </si>
  <si>
    <t>HURLEY INTERNATIONAL DNU SEE VPD</t>
  </si>
  <si>
    <t>DEKER JEAN BASIC</t>
  </si>
  <si>
    <t>10518DB436</t>
  </si>
  <si>
    <t>STRIPED TURTLENECK</t>
  </si>
  <si>
    <t>100069806MN</t>
  </si>
  <si>
    <t>COTTON/MODAL</t>
  </si>
  <si>
    <t>ACTO FL_SPR X UL SOL</t>
  </si>
  <si>
    <t>EB7923</t>
  </si>
  <si>
    <t>100% POLYESTER</t>
  </si>
  <si>
    <t>TIPPED LS CREW</t>
  </si>
  <si>
    <t>100064296MN</t>
  </si>
  <si>
    <t>SOLID LS DS- SPEARMINT</t>
  </si>
  <si>
    <t>CON9SDC495-339</t>
  </si>
  <si>
    <t>LT/PAS GRN</t>
  </si>
  <si>
    <t>CON.STRUCT/A W CHANG CORPORATION</t>
  </si>
  <si>
    <t>COTTON/PANDEX</t>
  </si>
  <si>
    <t>BLK HERRINGBONE PANT</t>
  </si>
  <si>
    <t>18505BO436</t>
  </si>
  <si>
    <t>ALFANI RED-MMG/ALFANI</t>
  </si>
  <si>
    <t>SD MENS WTRPF SPO M</t>
  </si>
  <si>
    <t>659M2</t>
  </si>
  <si>
    <t>SHELL, LINING, INSULATION: POLYESTER</t>
  </si>
  <si>
    <t>RIB PLACKET 1/4 ZIP</t>
  </si>
  <si>
    <t>100069836MN</t>
  </si>
  <si>
    <t>LEIGH STRIPE</t>
  </si>
  <si>
    <t>RS20110121</t>
  </si>
  <si>
    <t>RYAN SEACREST/RANDA CORP</t>
  </si>
  <si>
    <t>ABERDEEN PAISLEY</t>
  </si>
  <si>
    <t>RS20110117</t>
  </si>
  <si>
    <t>SAN LEO GINGHAM</t>
  </si>
  <si>
    <t>RS20110098</t>
  </si>
  <si>
    <t>CLARKSON NONSOLID</t>
  </si>
  <si>
    <t>RS21110004</t>
  </si>
  <si>
    <t>POLYESTER/SILK</t>
  </si>
  <si>
    <t>DURHAM SOLID TIE</t>
  </si>
  <si>
    <t>RS21110010</t>
  </si>
  <si>
    <t>MED ORANGE</t>
  </si>
  <si>
    <t>SILK/POLYESTER</t>
  </si>
  <si>
    <t>SARDINIA SEASONAL SOLID</t>
  </si>
  <si>
    <t>RS23110001</t>
  </si>
  <si>
    <t>SILK/LINEN</t>
  </si>
  <si>
    <t>PHELPS NONSOLID</t>
  </si>
  <si>
    <t>RS20110125</t>
  </si>
  <si>
    <t>ALL SILK</t>
  </si>
  <si>
    <t>KENT UNSOLID SOLID</t>
  </si>
  <si>
    <t>RS20110106</t>
  </si>
  <si>
    <t>FRANCO GEO</t>
  </si>
  <si>
    <t>RS20110118</t>
  </si>
  <si>
    <t>GAFFNEY GEO TIE</t>
  </si>
  <si>
    <t>RS21110006</t>
  </si>
  <si>
    <t>LT/PAS PUR</t>
  </si>
  <si>
    <t>SPS LATTICE DMND PT</t>
  </si>
  <si>
    <t>100027480MN</t>
  </si>
  <si>
    <t>CHINO PANT STRETCH</t>
  </si>
  <si>
    <t>27511CRPNT</t>
  </si>
  <si>
    <t>VENEZIA BKN TWL SHRT</t>
  </si>
  <si>
    <t>100068229MN</t>
  </si>
  <si>
    <t>TASSO ELBA-MMG</t>
  </si>
  <si>
    <t>SS FCA POCKETJCLASS</t>
  </si>
  <si>
    <t>V91000</t>
  </si>
  <si>
    <t>LS ODEN PLAID</t>
  </si>
  <si>
    <t>100069920MN</t>
  </si>
  <si>
    <t>LS GILDFORD PLAID</t>
  </si>
  <si>
    <t>100069919MN</t>
  </si>
  <si>
    <t>CHIANTI OVRLAY PLAID</t>
  </si>
  <si>
    <t>100088764MN</t>
  </si>
  <si>
    <t>SPA LINE DOT DOBBY</t>
  </si>
  <si>
    <t>100050058MN</t>
  </si>
  <si>
    <t>BRONX STRIPE</t>
  </si>
  <si>
    <t>TOMMY HILFIGER/T/PVH NECKWEAR</t>
  </si>
  <si>
    <t>SMALL GEO CUBE</t>
  </si>
  <si>
    <t>7K794314</t>
  </si>
  <si>
    <t>MICHAEL MICHAEL KORS/PVH NECKWEAR</t>
  </si>
  <si>
    <t>CENTRAL PAISLEY</t>
  </si>
  <si>
    <t>ALL SILK TWILL</t>
  </si>
  <si>
    <t>NEW TEXTURED STRIPE</t>
  </si>
  <si>
    <t>ARGYLE HOLIDAY VERTI</t>
  </si>
  <si>
    <t>TEXTURED VILLAGE STRIPE</t>
  </si>
  <si>
    <t>MEDIUM TEXTURED STRIPE</t>
  </si>
  <si>
    <t>POLYESTER/WOOL/SILK</t>
  </si>
  <si>
    <t>FLATIRON STRIPE</t>
  </si>
  <si>
    <t>WOVEN SILK/POLYESTER</t>
  </si>
  <si>
    <t>ESCHER GEO</t>
  </si>
  <si>
    <t>K7994415</t>
  </si>
  <si>
    <t>CALVIN KLEIN/PVH NECKWEAR INC</t>
  </si>
  <si>
    <t>CORE NEAT II</t>
  </si>
  <si>
    <t>PREPPY STRIPE</t>
  </si>
  <si>
    <t>AARAN UNSOLID SOLID</t>
  </si>
  <si>
    <t>VISCOSE/SILK</t>
  </si>
  <si>
    <t>BRIGHT MEDIUM STRIPE</t>
  </si>
  <si>
    <t>GLENCHECK WITH DOT P</t>
  </si>
  <si>
    <t>7K993524</t>
  </si>
  <si>
    <t>4 SQUARE NEAT</t>
  </si>
  <si>
    <t>K7991615</t>
  </si>
  <si>
    <t>LARGE TEXTURED CHECK</t>
  </si>
  <si>
    <t>WOOL/POLYESTER/SILK</t>
  </si>
  <si>
    <t>AMERICANA PLAID</t>
  </si>
  <si>
    <t>ABSTRACT TEXTURED CH</t>
  </si>
  <si>
    <t>7K994641</t>
  </si>
  <si>
    <t>SILK/WOOL</t>
  </si>
  <si>
    <t>WOVEN KNIT PLAID</t>
  </si>
  <si>
    <t>K7994405</t>
  </si>
  <si>
    <t>MICRO HEXAGONS</t>
  </si>
  <si>
    <t>K7994411</t>
  </si>
  <si>
    <t>LT/PASPINK</t>
  </si>
  <si>
    <t>SILK/VISCOSE</t>
  </si>
  <si>
    <t>METAL SOLID</t>
  </si>
  <si>
    <t>K7994615</t>
  </si>
  <si>
    <t>SILK/METALLIC</t>
  </si>
  <si>
    <t>MICRO CONNECTED LOGO</t>
  </si>
  <si>
    <t>7K794615</t>
  </si>
  <si>
    <t>MULTI BOSTON PLAID</t>
  </si>
  <si>
    <t>BRIGHT PREPPY DOT</t>
  </si>
  <si>
    <t>VINCENT PLAID</t>
  </si>
  <si>
    <t>SMALL ANGULAR GEO PRINT</t>
  </si>
  <si>
    <t>7K793309</t>
  </si>
  <si>
    <t>TONAL POW</t>
  </si>
  <si>
    <t>K7994462</t>
  </si>
  <si>
    <t>MONT DOT</t>
  </si>
  <si>
    <t>SMALL TUCAN</t>
  </si>
  <si>
    <t>MID-HERRINGBONE</t>
  </si>
  <si>
    <t>K7993309</t>
  </si>
  <si>
    <t>TEXTURED PLAID</t>
  </si>
  <si>
    <t>ASYM AGNES CHECK</t>
  </si>
  <si>
    <t>K7994422</t>
  </si>
  <si>
    <t>SNOWFLAKE STRIPE</t>
  </si>
  <si>
    <t>BICOLOR ARROW</t>
  </si>
  <si>
    <t>7K991301</t>
  </si>
  <si>
    <t>SOLID TEXTURED STRIP</t>
  </si>
  <si>
    <t>GLEN PLAID TREE</t>
  </si>
  <si>
    <t>CM ORANGE SUMMER PAISLY</t>
  </si>
  <si>
    <t>7K794612</t>
  </si>
  <si>
    <t>TEXTURED MULTI PLAID</t>
  </si>
  <si>
    <t>Q7983509</t>
  </si>
  <si>
    <t>SEAN JOHN/PVH NECKWEAR INC</t>
  </si>
  <si>
    <t>GRAPHITE PLAID</t>
  </si>
  <si>
    <t>K7983315</t>
  </si>
  <si>
    <t>HAMIL FLORAL</t>
  </si>
  <si>
    <t>2GC9-2006</t>
  </si>
  <si>
    <t>ORIGINAL PENGUIN/BESPOKE FASHION</t>
  </si>
  <si>
    <t>POLYESTER/COTTON</t>
  </si>
  <si>
    <t>MARINO FLROAL</t>
  </si>
  <si>
    <t>2GC9-5062</t>
  </si>
  <si>
    <t>RAYON</t>
  </si>
  <si>
    <t>CATANESE SOLID</t>
  </si>
  <si>
    <t>2PC9-1090</t>
  </si>
  <si>
    <t>PERRY ELLIS/BESPOKE FASHION LLC</t>
  </si>
  <si>
    <t>LAUREL SOLID</t>
  </si>
  <si>
    <t>2PC8-3037</t>
  </si>
  <si>
    <t>ROBYN FLORAL</t>
  </si>
  <si>
    <t>2GC9-5027</t>
  </si>
  <si>
    <t>HANNA PLAID</t>
  </si>
  <si>
    <t>2GC9-9001</t>
  </si>
  <si>
    <t>MAXILL SOLID</t>
  </si>
  <si>
    <t>2GC8-6073</t>
  </si>
  <si>
    <t>ASHIN SOLID</t>
  </si>
  <si>
    <t>2GC9-0058</t>
  </si>
  <si>
    <t>SUPER SLM SATIN SLD</t>
  </si>
  <si>
    <t>2GC5-6000</t>
  </si>
  <si>
    <t>ELITE TURTLENECK</t>
  </si>
  <si>
    <t>COTTON/NYLON</t>
  </si>
  <si>
    <t>BDR UNIVERSITY ST</t>
  </si>
  <si>
    <t>100020562MN</t>
  </si>
  <si>
    <t>MMG-CLUBROOM</t>
  </si>
  <si>
    <t>BDR SCOTT TARTAN</t>
  </si>
  <si>
    <t>100035213MN</t>
  </si>
  <si>
    <t>SPS SOLID</t>
  </si>
  <si>
    <t>100027459MN</t>
  </si>
  <si>
    <t>MED PINK</t>
  </si>
  <si>
    <t>CAJASO PLAID</t>
  </si>
  <si>
    <t>100087745MN</t>
  </si>
  <si>
    <t>STRIKE SS</t>
  </si>
  <si>
    <t>M401VRST</t>
  </si>
  <si>
    <t>RVCA/BOARDRIDERS WHOLESALE LLC</t>
  </si>
  <si>
    <t>SPR BEDFORD CORD R BASIC</t>
  </si>
  <si>
    <t>100027579MN</t>
  </si>
  <si>
    <t>SPR BEDFORD CORD</t>
  </si>
  <si>
    <t>100027580MN</t>
  </si>
  <si>
    <t>DOVER PLAID</t>
  </si>
  <si>
    <t>2PC9-3038</t>
  </si>
  <si>
    <t>LS EXPLD BUFF CHECK</t>
  </si>
  <si>
    <t>100071046MN</t>
  </si>
  <si>
    <t>REINATTO PRINT</t>
  </si>
  <si>
    <t>100087742MN</t>
  </si>
  <si>
    <t>SS MARCEL PLAID</t>
  </si>
  <si>
    <t>100089092MN</t>
  </si>
  <si>
    <t>COTTON/SPANDEX/NYLON</t>
  </si>
  <si>
    <t>FULLERTON STRIPE</t>
  </si>
  <si>
    <t>TASSO ELBA/BESPOKE FASHION-TIES</t>
  </si>
  <si>
    <t>ARCHER MINI</t>
  </si>
  <si>
    <t>COMO MEDALLION</t>
  </si>
  <si>
    <t>SILK/WOOL/COTTON</t>
  </si>
  <si>
    <t>SFR PINPOINT SOLID</t>
  </si>
  <si>
    <t>100038201MN</t>
  </si>
  <si>
    <t>BDR PINPOINT SOLID</t>
  </si>
  <si>
    <t>100026840MN</t>
  </si>
  <si>
    <t>MAXS WATERCOLOR FL</t>
  </si>
  <si>
    <t>BAR III-MMG</t>
  </si>
  <si>
    <t>SS AMERICANA PLAID</t>
  </si>
  <si>
    <t>100094820MN</t>
  </si>
  <si>
    <t>COTTON STRETCH BOXER BRI</t>
  </si>
  <si>
    <t>CABBA1</t>
  </si>
  <si>
    <t>CHAMPION PRODUCTS/HANESBRANDS INC</t>
  </si>
  <si>
    <t>SOLIDS: COTTON/SPANDEX; HEATHERED COLORWAYS: COTTON/POLYESTER/SPANDEX</t>
  </si>
  <si>
    <t>BLING BOW TIE &amp; PSQ</t>
  </si>
  <si>
    <t>NM3TLO9F01-718</t>
  </si>
  <si>
    <t>BOWTIE: POLYESTER; POCKET SQUARE: POLYESTER</t>
  </si>
  <si>
    <t>SPR SM CARNEGIE TRTN</t>
  </si>
  <si>
    <t>100074769MN</t>
  </si>
  <si>
    <t>SS LANCE STRIPE</t>
  </si>
  <si>
    <t>100088002MN</t>
  </si>
  <si>
    <t>SPR HOLIDAY GINGHAM</t>
  </si>
  <si>
    <t>100074770MN</t>
  </si>
  <si>
    <t>S/S PIMA/POLY OPD</t>
  </si>
  <si>
    <t>71K00CPOLO</t>
  </si>
  <si>
    <t>HONEY</t>
  </si>
  <si>
    <t>SUPIMA® COTTON/POLYESTER</t>
  </si>
  <si>
    <t>SP CLASSIC ENE ST R BASIC</t>
  </si>
  <si>
    <t>CHAMP DAD HAT</t>
  </si>
  <si>
    <t>CH2006</t>
  </si>
  <si>
    <t>CHAMPION/UNITED LEGWEAR COMPANY LLC</t>
  </si>
  <si>
    <t>ATTILA TEE</t>
  </si>
  <si>
    <t>MAX LGT BLUE BASKET BASIC</t>
  </si>
  <si>
    <t>BS17TXTBLU</t>
  </si>
  <si>
    <t>HI-LOW SOLID</t>
  </si>
  <si>
    <t>M6994212</t>
  </si>
  <si>
    <t>KENNETH COLE REACT/PVH NECKWEAR INC</t>
  </si>
  <si>
    <t>MOSAIC GEO</t>
  </si>
  <si>
    <t>M6994324</t>
  </si>
  <si>
    <t>BDR DOUBLE GINGHAM</t>
  </si>
  <si>
    <t>100020537MN</t>
  </si>
  <si>
    <t>SIMPLY STRIPE</t>
  </si>
  <si>
    <t>M6991401</t>
  </si>
  <si>
    <t>STONE STRIPE</t>
  </si>
  <si>
    <t>M6993415</t>
  </si>
  <si>
    <t>BDR BLACKWATCH TRTN</t>
  </si>
  <si>
    <t>100031145MN</t>
  </si>
  <si>
    <t>LILAC DOT</t>
  </si>
  <si>
    <t>SOB8FDS201-510</t>
  </si>
  <si>
    <t>SOCIETY OF THREADS/A W CHANG</t>
  </si>
  <si>
    <t>LIGHT BLUE SOLID</t>
  </si>
  <si>
    <t>SOB8FDS200-450</t>
  </si>
  <si>
    <t>SPECLE SOLID</t>
  </si>
  <si>
    <t>M6984206</t>
  </si>
  <si>
    <t>IRIDESCENT SIMPLE STRIPE</t>
  </si>
  <si>
    <t>M6994430</t>
  </si>
  <si>
    <t>ADAM CHECK</t>
  </si>
  <si>
    <t>M6994540</t>
  </si>
  <si>
    <t>SP ENE WINDOWPANE</t>
  </si>
  <si>
    <t>LS FITTED STRETCH NI</t>
  </si>
  <si>
    <t>26W5479</t>
  </si>
  <si>
    <t>ARROW/VAN HEUSEN CORP</t>
  </si>
  <si>
    <t>LS SATEEN NO IRON PT</t>
  </si>
  <si>
    <t>26W5478</t>
  </si>
  <si>
    <t>LS SLIM FIT STRETCH</t>
  </si>
  <si>
    <t>26W5310</t>
  </si>
  <si>
    <t>FUN TOP- BLUE</t>
  </si>
  <si>
    <t>WNP3000M</t>
  </si>
  <si>
    <t>PENGUIN/PERRY ELLIS MENSWEAR INC</t>
  </si>
  <si>
    <t>LEATHER; LINING: POLYESTER</t>
  </si>
  <si>
    <t>FUN EDGE</t>
  </si>
  <si>
    <t>WNP3004M</t>
  </si>
  <si>
    <t>BASIC NAVY</t>
  </si>
  <si>
    <t>WNP3005M</t>
  </si>
  <si>
    <t>COLOR CENTER</t>
  </si>
  <si>
    <t>WNP3003M</t>
  </si>
  <si>
    <t>STICKER</t>
  </si>
  <si>
    <t>WNP3001M</t>
  </si>
  <si>
    <t>BABYTAB</t>
  </si>
  <si>
    <t>3LSP3375</t>
  </si>
  <si>
    <t>L/S V-NECK CARDIGAN</t>
  </si>
  <si>
    <t>SS PIERCE TROP BIRD</t>
  </si>
  <si>
    <t>100086284MN</t>
  </si>
  <si>
    <t>BD WH PINPOINT SS BASIC</t>
  </si>
  <si>
    <t>SP WHT PINPOINT SS BASIC</t>
  </si>
  <si>
    <t>CREW LS TOP W/ NOTCH</t>
  </si>
  <si>
    <t>TMF99511ME</t>
  </si>
  <si>
    <t>32 DEGREES/WEATHERPROOF GAR-CONSIGN</t>
  </si>
  <si>
    <t>PROMO OPEN CUFF PANT</t>
  </si>
  <si>
    <t>100073682MN</t>
  </si>
  <si>
    <t>SLIM STRIPE</t>
  </si>
  <si>
    <t>32LG053</t>
  </si>
  <si>
    <t>KENNETH COLE REACT/DES/VAN HEUSEN</t>
  </si>
  <si>
    <t>ALLOA PAISLEY PS</t>
  </si>
  <si>
    <t>RS20300026</t>
  </si>
  <si>
    <t>WHT SLIM SOLID</t>
  </si>
  <si>
    <t>32LG049</t>
  </si>
  <si>
    <t>REG SOLID</t>
  </si>
  <si>
    <t>32LG054</t>
  </si>
  <si>
    <t>BIG SOLID</t>
  </si>
  <si>
    <t>32LB055</t>
  </si>
  <si>
    <t>REG CHECK</t>
  </si>
  <si>
    <t>32LG056</t>
  </si>
  <si>
    <t>TALL SOLID</t>
  </si>
  <si>
    <t>32LT054</t>
  </si>
  <si>
    <t>32LB054</t>
  </si>
  <si>
    <t>TEXTURED SOLID PS</t>
  </si>
  <si>
    <t>RS20300019</t>
  </si>
  <si>
    <t>CAMEO VELVET SOLID</t>
  </si>
  <si>
    <t>LS PAISLEY TEE</t>
  </si>
  <si>
    <t>100064294MN</t>
  </si>
  <si>
    <t>MENS DRESS SHIRT</t>
  </si>
  <si>
    <t>NAU111YLP095</t>
  </si>
  <si>
    <t>NAUTICA/ITOCHU PROMINENT USA</t>
  </si>
  <si>
    <t>NAU111YLP097</t>
  </si>
  <si>
    <t>LUNCH STACKED</t>
  </si>
  <si>
    <t>125531-4515</t>
  </si>
  <si>
    <t>HIGH SIERRA/SAMSONITE LLC</t>
  </si>
  <si>
    <t>POLYESTER; LINING: PEVA</t>
  </si>
  <si>
    <t>EXPLODED PLAID</t>
  </si>
  <si>
    <t>CASHMINK/V FRAAS USA INC</t>
  </si>
  <si>
    <t>GORDIN STRIPE</t>
  </si>
  <si>
    <t>SANTA PUG REPEAT</t>
  </si>
  <si>
    <t>Z SMALL PXL GINGHAM</t>
  </si>
  <si>
    <t>100084016MN</t>
  </si>
  <si>
    <t>THE GIRBARAN MEDALLION</t>
  </si>
  <si>
    <t>1V994702</t>
  </si>
  <si>
    <t>VAN HEUSEN/PVH NECKWEAR INC</t>
  </si>
  <si>
    <t>WOVEN POLYESTER</t>
  </si>
  <si>
    <t>SLM FIT SS PERF POLO</t>
  </si>
  <si>
    <t>100059779MN</t>
  </si>
  <si>
    <t>VENETIAN SLIPPER</t>
  </si>
  <si>
    <t>71WV670014</t>
  </si>
  <si>
    <t>32 HEAT/RANDA ACCESSORIES</t>
  </si>
  <si>
    <t>MAN-MADE UPPER, SOLE</t>
  </si>
  <si>
    <t>MARLED BEANIE</t>
  </si>
  <si>
    <t>44KC040004</t>
  </si>
  <si>
    <t>KENNETH COLE/RANDA ACCESSORIES</t>
  </si>
  <si>
    <t>SHELL/LINING: POLYESTER</t>
  </si>
  <si>
    <t>MADISON DOT</t>
  </si>
  <si>
    <t>ALFANI/BESPOKE FASHION-TIES</t>
  </si>
  <si>
    <t>WALLACE SOLID BASIC</t>
  </si>
  <si>
    <t>CLUBROOM/BESPOKE FASHION-TIES</t>
  </si>
  <si>
    <t>PAXTON STRIPE</t>
  </si>
  <si>
    <t>TRUMBULL STRIPE</t>
  </si>
  <si>
    <t>ROVER STRIPE</t>
  </si>
  <si>
    <t>ECHO SOLID</t>
  </si>
  <si>
    <t>BUTLER MINI</t>
  </si>
  <si>
    <t>MOORING GEO</t>
  </si>
  <si>
    <t>PALMAS GEO</t>
  </si>
  <si>
    <t>BEACON STRIPE</t>
  </si>
  <si>
    <t>BLAKE GEO</t>
  </si>
  <si>
    <t>FAIRWAY SOLID</t>
  </si>
  <si>
    <t>CELTIC DOT</t>
  </si>
  <si>
    <t>SANTA CLAUSE</t>
  </si>
  <si>
    <t>SANTA HAT</t>
  </si>
  <si>
    <t>SNOWMAN STRIPE</t>
  </si>
  <si>
    <t>LARSSON ABST SOLID</t>
  </si>
  <si>
    <t>KELLEY GRID</t>
  </si>
  <si>
    <t>EDEN STRIPE</t>
  </si>
  <si>
    <t>SHUBERT GEO</t>
  </si>
  <si>
    <t>COSTELLO MINI BASIC</t>
  </si>
  <si>
    <t>ROY GEO</t>
  </si>
  <si>
    <t>TBD PRINT</t>
  </si>
  <si>
    <t>STERLING NEAT</t>
  </si>
  <si>
    <t>SOLID TEXTURED CREW</t>
  </si>
  <si>
    <t>100062517MN</t>
  </si>
  <si>
    <t>PTR CHECK</t>
  </si>
  <si>
    <t>100080558MN</t>
  </si>
  <si>
    <t>PTR STRIPE</t>
  </si>
  <si>
    <t>100080559MN</t>
  </si>
  <si>
    <t>PTR SOLID</t>
  </si>
  <si>
    <t>100076681MN</t>
  </si>
  <si>
    <t>WYATT STRIPE</t>
  </si>
  <si>
    <t>SALT AND PEPPA</t>
  </si>
  <si>
    <t>BAND SPECIFIC/MERCH TRAFFIC LLC</t>
  </si>
  <si>
    <t>BOBBY CNTRST NK STCH BASIC</t>
  </si>
  <si>
    <t>SUN + STONE-MMG/PACIFIC TXTL &amp; SRC</t>
  </si>
  <si>
    <t>ISLAND STRIPE TEE BASIC</t>
  </si>
  <si>
    <t>BLM LEA CARD CARRIER</t>
  </si>
  <si>
    <t>NP0090</t>
  </si>
  <si>
    <t>PERRY ELLIS-WESTPORT-MUNDI</t>
  </si>
  <si>
    <t>NAVY/HEA BLUE WINDOWPANE</t>
  </si>
  <si>
    <t>S112213</t>
  </si>
  <si>
    <t>PERRY ELLIS MENSWEAR INC</t>
  </si>
  <si>
    <t>SS STRETCH PERF POLO</t>
  </si>
  <si>
    <t>100028196MN</t>
  </si>
  <si>
    <t>NEUTRAL FLORAL TEE BASIC</t>
  </si>
  <si>
    <t>100088825MN</t>
  </si>
  <si>
    <t>SUN + STONE-MMG</t>
  </si>
  <si>
    <t>AIDEN PCD PATCH PKT BASIC</t>
  </si>
  <si>
    <t>FOLK CHEST STRIPE T</t>
  </si>
  <si>
    <t>100064482MN</t>
  </si>
  <si>
    <t>AMERICAN RAG-EDI/PACIFICTXTLS&amp;SOURC</t>
  </si>
  <si>
    <t>SOLID TWILL PSQ BASIC</t>
  </si>
  <si>
    <t>SOLID TWILL PSQ</t>
  </si>
  <si>
    <t>B&amp;T THERMAL PANT</t>
  </si>
  <si>
    <t>100071453BT</t>
  </si>
  <si>
    <t>ALFANI-EDI/MASOOD TEXTILE</t>
  </si>
  <si>
    <t>INTERLCK MCKNECK HTH</t>
  </si>
  <si>
    <t>100062513MN</t>
  </si>
  <si>
    <t>TERRY WRISTBAND</t>
  </si>
  <si>
    <t>H0712A------</t>
  </si>
  <si>
    <t>ACTIVE GEAR/HANESBRANDS INC</t>
  </si>
  <si>
    <t>NEPS DOT CREW</t>
  </si>
  <si>
    <t>ALH157</t>
  </si>
  <si>
    <t>COLE HAAN/PVH LEGWEAR LLC</t>
  </si>
  <si>
    <t>COMBED COTTON/POLYESTER/NYLON/SPANDEX</t>
  </si>
  <si>
    <t>PERF SOLID CREW TEE</t>
  </si>
  <si>
    <t>HALF BLOCKED DOT BASIC</t>
  </si>
  <si>
    <t>BAR III-EDI/GOLD MEDAL HOSIERY</t>
  </si>
  <si>
    <t>COTTON/POLYESTER/NYLON/SPANDEX</t>
  </si>
  <si>
    <t>CLBDPPCS</t>
  </si>
  <si>
    <t>ASSORTED</t>
  </si>
  <si>
    <t>BARBOUR SEERSUCKER 6 S/S</t>
  </si>
  <si>
    <t>MSH4670PI51</t>
  </si>
  <si>
    <t>BARBOUR INC</t>
  </si>
  <si>
    <t>512 SLIM TAPER FIT T</t>
  </si>
  <si>
    <t>CHVRN BLCKD TRCK JKT</t>
  </si>
  <si>
    <t>SIDE BLCKD TRCK PANT</t>
  </si>
  <si>
    <t>MIRRORED TRIANGLES</t>
  </si>
  <si>
    <t>7K994315</t>
  </si>
  <si>
    <t>PT LUREX SOLID</t>
  </si>
  <si>
    <t>RS29210009</t>
  </si>
  <si>
    <t>GINGHAM BOW</t>
  </si>
  <si>
    <t>8TB81501</t>
  </si>
  <si>
    <t>TOMMY HILFIGER/B/PVH NECKWEAR</t>
  </si>
  <si>
    <t>SS LUCA FLAMINGO PRT</t>
  </si>
  <si>
    <t>100086285MN</t>
  </si>
  <si>
    <t>BOULDER FLORAL</t>
  </si>
  <si>
    <t>CHESTER FLORAL</t>
  </si>
  <si>
    <t>MLT CAMO CHST ST TEE BASIC</t>
  </si>
  <si>
    <t>100088851MN</t>
  </si>
  <si>
    <t>LOT 6475 VH FLEX 3 S</t>
  </si>
  <si>
    <t>5V98F104</t>
  </si>
  <si>
    <t>VH 3 BAR STRIPE</t>
  </si>
  <si>
    <t>VH THE BEST STRIPE</t>
  </si>
  <si>
    <t>6V964114</t>
  </si>
  <si>
    <t>VH SLEEK STRIPE</t>
  </si>
  <si>
    <t>VAN HEUSEN GEO LOT</t>
  </si>
  <si>
    <t>1V900302</t>
  </si>
  <si>
    <t>VAN HEUSEN ASSORTED</t>
  </si>
  <si>
    <t>1V900000</t>
  </si>
  <si>
    <t>FIRE ISLAND</t>
  </si>
  <si>
    <t>MMG-BAR III-PSQ</t>
  </si>
  <si>
    <t>BLUESY FLORAL</t>
  </si>
  <si>
    <t>1UP8-2012</t>
  </si>
  <si>
    <t>FOUR IN HAND/BESPOKE FASHION LLC</t>
  </si>
  <si>
    <t>MENS APPAREL &amp; ACCESSORIES</t>
  </si>
  <si>
    <t>WEIGHT 311</t>
  </si>
  <si>
    <t># OF UNITS 747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</si>
</sst>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 wrapText="1"/>
    </xf>
    <xf numFmtId="8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" fontId="2" fillId="0" borderId="0" xfId="0" applyNumberFormat="1" applyFont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6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50800</xdr:rowOff>
    </xdr:from>
    <xdr:to>
      <xdr:col>0</xdr:col>
      <xdr:colOff>3962400</xdr:colOff>
      <xdr:row>4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D5CCDA-1329-A440-ACFB-FF7B359B6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0800"/>
          <a:ext cx="38100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DB850-6249-7849-A055-2AE157FDCDEE}">
  <dimension ref="A5:I575"/>
  <sheetViews>
    <sheetView tabSelected="1" workbookViewId="0">
      <selection activeCell="F1" sqref="F1:J1048576"/>
    </sheetView>
  </sheetViews>
  <sheetFormatPr baseColWidth="10" defaultRowHeight="16" x14ac:dyDescent="0.2"/>
  <cols>
    <col min="1" max="1" width="82.1640625" customWidth="1"/>
  </cols>
  <sheetData>
    <row r="5" spans="1:9" x14ac:dyDescent="0.2">
      <c r="A5" s="6">
        <v>12912123</v>
      </c>
    </row>
    <row r="6" spans="1:9" x14ac:dyDescent="0.2">
      <c r="A6" s="7" t="s">
        <v>978</v>
      </c>
    </row>
    <row r="7" spans="1:9" x14ac:dyDescent="0.2">
      <c r="A7" s="8" t="s">
        <v>979</v>
      </c>
    </row>
    <row r="8" spans="1:9" x14ac:dyDescent="0.2">
      <c r="A8" s="8" t="s">
        <v>980</v>
      </c>
    </row>
    <row r="9" spans="1:9" x14ac:dyDescent="0.2">
      <c r="A9" s="9">
        <v>5300</v>
      </c>
    </row>
    <row r="16" spans="1:9" ht="39" x14ac:dyDescent="0.2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</row>
    <row r="17" spans="1:9" ht="53" x14ac:dyDescent="0.2">
      <c r="A17" s="2" t="s">
        <v>9</v>
      </c>
      <c r="B17" s="3">
        <v>1</v>
      </c>
      <c r="C17" s="4">
        <v>111</v>
      </c>
      <c r="D17" s="3" t="s">
        <v>10</v>
      </c>
      <c r="E17" s="2" t="s">
        <v>11</v>
      </c>
      <c r="F17" s="2" t="s">
        <v>12</v>
      </c>
      <c r="G17" s="2" t="s">
        <v>13</v>
      </c>
      <c r="H17" s="2" t="s">
        <v>14</v>
      </c>
      <c r="I17" s="5" t="str">
        <f>HYPERLINK("http://slimages.macys.com/is/image/MCY/8393942 ")</f>
        <v xml:space="preserve">http://slimages.macys.com/is/image/MCY/8393942 </v>
      </c>
    </row>
    <row r="18" spans="1:9" ht="66" x14ac:dyDescent="0.2">
      <c r="A18" s="2" t="s">
        <v>15</v>
      </c>
      <c r="B18" s="3">
        <v>1</v>
      </c>
      <c r="C18" s="4">
        <v>233</v>
      </c>
      <c r="D18" s="3" t="s">
        <v>16</v>
      </c>
      <c r="E18" s="2" t="s">
        <v>17</v>
      </c>
      <c r="F18" s="2" t="s">
        <v>12</v>
      </c>
      <c r="G18" s="2" t="s">
        <v>13</v>
      </c>
      <c r="H18" s="2" t="s">
        <v>18</v>
      </c>
      <c r="I18" s="5" t="str">
        <f>HYPERLINK("http://slimages.macys.com/is/image/MCY/9910627 ")</f>
        <v xml:space="preserve">http://slimages.macys.com/is/image/MCY/9910627 </v>
      </c>
    </row>
    <row r="19" spans="1:9" ht="66" x14ac:dyDescent="0.2">
      <c r="A19" s="2" t="s">
        <v>19</v>
      </c>
      <c r="B19" s="3">
        <v>1</v>
      </c>
      <c r="C19" s="4">
        <v>189</v>
      </c>
      <c r="D19" s="3" t="s">
        <v>20</v>
      </c>
      <c r="E19" s="2" t="s">
        <v>21</v>
      </c>
      <c r="F19" s="2" t="s">
        <v>22</v>
      </c>
      <c r="G19" s="2" t="s">
        <v>13</v>
      </c>
      <c r="H19" s="2" t="s">
        <v>23</v>
      </c>
      <c r="I19" s="5" t="str">
        <f>HYPERLINK("http://slimages.macys.com/is/image/MCY/15348773 ")</f>
        <v xml:space="preserve">http://slimages.macys.com/is/image/MCY/15348773 </v>
      </c>
    </row>
    <row r="20" spans="1:9" ht="79" x14ac:dyDescent="0.2">
      <c r="A20" s="2" t="s">
        <v>24</v>
      </c>
      <c r="B20" s="3">
        <v>1</v>
      </c>
      <c r="C20" s="4">
        <v>210</v>
      </c>
      <c r="D20" s="3" t="s">
        <v>25</v>
      </c>
      <c r="E20" s="2" t="s">
        <v>17</v>
      </c>
      <c r="F20" s="2" t="s">
        <v>12</v>
      </c>
      <c r="G20" s="2" t="s">
        <v>13</v>
      </c>
      <c r="H20" s="2" t="s">
        <v>26</v>
      </c>
      <c r="I20" s="5" t="str">
        <f>HYPERLINK("http://slimages.macys.com/is/image/MCY/16418198 ")</f>
        <v xml:space="preserve">http://slimages.macys.com/is/image/MCY/16418198 </v>
      </c>
    </row>
    <row r="21" spans="1:9" ht="53" x14ac:dyDescent="0.2">
      <c r="A21" s="2" t="s">
        <v>27</v>
      </c>
      <c r="B21" s="3">
        <v>1</v>
      </c>
      <c r="C21" s="4">
        <v>140</v>
      </c>
      <c r="D21" s="3" t="s">
        <v>28</v>
      </c>
      <c r="E21" s="2" t="s">
        <v>17</v>
      </c>
      <c r="F21" s="2" t="s">
        <v>29</v>
      </c>
      <c r="G21" s="2" t="s">
        <v>13</v>
      </c>
      <c r="H21" s="2" t="s">
        <v>30</v>
      </c>
      <c r="I21" s="5" t="str">
        <f>HYPERLINK("http://slimages.macys.com/is/image/MCY/9344566 ")</f>
        <v xml:space="preserve">http://slimages.macys.com/is/image/MCY/9344566 </v>
      </c>
    </row>
    <row r="22" spans="1:9" ht="53" x14ac:dyDescent="0.2">
      <c r="A22" s="2" t="s">
        <v>31</v>
      </c>
      <c r="B22" s="3">
        <v>1</v>
      </c>
      <c r="C22" s="4">
        <v>198</v>
      </c>
      <c r="D22" s="3" t="s">
        <v>32</v>
      </c>
      <c r="E22" s="2" t="s">
        <v>33</v>
      </c>
      <c r="F22" s="2" t="s">
        <v>34</v>
      </c>
      <c r="G22" s="2" t="s">
        <v>13</v>
      </c>
      <c r="H22" s="2" t="s">
        <v>35</v>
      </c>
      <c r="I22" s="5" t="str">
        <f>HYPERLINK("http://slimages.macys.com/is/image/MCY/15926725 ")</f>
        <v xml:space="preserve">http://slimages.macys.com/is/image/MCY/15926725 </v>
      </c>
    </row>
    <row r="23" spans="1:9" ht="53" x14ac:dyDescent="0.2">
      <c r="A23" s="2" t="s">
        <v>36</v>
      </c>
      <c r="B23" s="3">
        <v>1</v>
      </c>
      <c r="C23" s="4">
        <v>160</v>
      </c>
      <c r="D23" s="3" t="s">
        <v>37</v>
      </c>
      <c r="E23" s="2" t="s">
        <v>17</v>
      </c>
      <c r="F23" s="2" t="s">
        <v>38</v>
      </c>
      <c r="G23" s="2" t="s">
        <v>13</v>
      </c>
      <c r="H23" s="2" t="s">
        <v>39</v>
      </c>
      <c r="I23" s="5" t="str">
        <f>HYPERLINK("http://slimages.macys.com/is/image/MCY/15908271 ")</f>
        <v xml:space="preserve">http://slimages.macys.com/is/image/MCY/15908271 </v>
      </c>
    </row>
    <row r="24" spans="1:9" ht="53" x14ac:dyDescent="0.2">
      <c r="A24" s="2" t="s">
        <v>40</v>
      </c>
      <c r="B24" s="3">
        <v>1</v>
      </c>
      <c r="C24" s="4">
        <v>149</v>
      </c>
      <c r="D24" s="3" t="s">
        <v>41</v>
      </c>
      <c r="E24" s="2" t="s">
        <v>42</v>
      </c>
      <c r="F24" s="2" t="s">
        <v>43</v>
      </c>
      <c r="G24" s="2" t="s">
        <v>13</v>
      </c>
      <c r="H24" s="2" t="s">
        <v>35</v>
      </c>
      <c r="I24" s="5" t="str">
        <f>HYPERLINK("http://slimages.macys.com/is/image/MCY/15628993 ")</f>
        <v xml:space="preserve">http://slimages.macys.com/is/image/MCY/15628993 </v>
      </c>
    </row>
    <row r="25" spans="1:9" ht="53" x14ac:dyDescent="0.2">
      <c r="A25" s="2" t="s">
        <v>40</v>
      </c>
      <c r="B25" s="3">
        <v>1</v>
      </c>
      <c r="C25" s="4">
        <v>149</v>
      </c>
      <c r="D25" s="3" t="s">
        <v>41</v>
      </c>
      <c r="E25" s="2" t="s">
        <v>42</v>
      </c>
      <c r="F25" s="2" t="s">
        <v>43</v>
      </c>
      <c r="G25" s="2" t="s">
        <v>13</v>
      </c>
      <c r="H25" s="2" t="s">
        <v>35</v>
      </c>
      <c r="I25" s="5" t="str">
        <f>HYPERLINK("http://slimages.macys.com/is/image/MCY/15628993 ")</f>
        <v xml:space="preserve">http://slimages.macys.com/is/image/MCY/15628993 </v>
      </c>
    </row>
    <row r="26" spans="1:9" ht="53" x14ac:dyDescent="0.2">
      <c r="A26" s="2" t="s">
        <v>40</v>
      </c>
      <c r="B26" s="3">
        <v>1</v>
      </c>
      <c r="C26" s="4">
        <v>149</v>
      </c>
      <c r="D26" s="3" t="s">
        <v>41</v>
      </c>
      <c r="E26" s="2" t="s">
        <v>42</v>
      </c>
      <c r="F26" s="2" t="s">
        <v>43</v>
      </c>
      <c r="G26" s="2" t="s">
        <v>13</v>
      </c>
      <c r="H26" s="2" t="s">
        <v>35</v>
      </c>
      <c r="I26" s="5" t="str">
        <f>HYPERLINK("http://slimages.macys.com/is/image/MCY/15628993 ")</f>
        <v xml:space="preserve">http://slimages.macys.com/is/image/MCY/15628993 </v>
      </c>
    </row>
    <row r="27" spans="1:9" ht="79" x14ac:dyDescent="0.2">
      <c r="A27" s="2" t="s">
        <v>44</v>
      </c>
      <c r="B27" s="3">
        <v>1</v>
      </c>
      <c r="C27" s="4">
        <v>179</v>
      </c>
      <c r="D27" s="3" t="s">
        <v>45</v>
      </c>
      <c r="E27" s="2" t="s">
        <v>46</v>
      </c>
      <c r="F27" s="2" t="s">
        <v>12</v>
      </c>
      <c r="G27" s="2" t="s">
        <v>13</v>
      </c>
      <c r="H27" s="2" t="s">
        <v>47</v>
      </c>
      <c r="I27" s="5" t="str">
        <f>HYPERLINK("http://slimages.macys.com/is/image/MCY/15893178 ")</f>
        <v xml:space="preserve">http://slimages.macys.com/is/image/MCY/15893178 </v>
      </c>
    </row>
    <row r="28" spans="1:9" ht="53" x14ac:dyDescent="0.2">
      <c r="A28" s="2" t="s">
        <v>48</v>
      </c>
      <c r="B28" s="3">
        <v>1</v>
      </c>
      <c r="C28" s="4">
        <v>198</v>
      </c>
      <c r="D28" s="3">
        <v>5041704102100</v>
      </c>
      <c r="E28" s="2" t="s">
        <v>49</v>
      </c>
      <c r="F28" s="2" t="s">
        <v>50</v>
      </c>
      <c r="G28" s="2"/>
      <c r="H28" s="2"/>
      <c r="I28" s="5" t="str">
        <f>HYPERLINK("http://slimages.macys.com/is/image/MCY/15505110 ")</f>
        <v xml:space="preserve">http://slimages.macys.com/is/image/MCY/15505110 </v>
      </c>
    </row>
    <row r="29" spans="1:9" ht="92" x14ac:dyDescent="0.2">
      <c r="A29" s="2" t="s">
        <v>51</v>
      </c>
      <c r="B29" s="3">
        <v>1</v>
      </c>
      <c r="C29" s="4">
        <v>120</v>
      </c>
      <c r="D29" s="3" t="s">
        <v>52</v>
      </c>
      <c r="E29" s="2" t="s">
        <v>53</v>
      </c>
      <c r="F29" s="2" t="s">
        <v>54</v>
      </c>
      <c r="G29" s="2" t="s">
        <v>13</v>
      </c>
      <c r="H29" s="2" t="s">
        <v>55</v>
      </c>
      <c r="I29" s="5" t="str">
        <f>HYPERLINK("http://slimages.macys.com/is/image/MCY/15653706 ")</f>
        <v xml:space="preserve">http://slimages.macys.com/is/image/MCY/15653706 </v>
      </c>
    </row>
    <row r="30" spans="1:9" ht="92" x14ac:dyDescent="0.2">
      <c r="A30" s="2" t="s">
        <v>56</v>
      </c>
      <c r="B30" s="3">
        <v>1</v>
      </c>
      <c r="C30" s="4">
        <v>40</v>
      </c>
      <c r="D30" s="3" t="s">
        <v>57</v>
      </c>
      <c r="E30" s="2" t="s">
        <v>11</v>
      </c>
      <c r="F30" s="2" t="s">
        <v>58</v>
      </c>
      <c r="G30" s="2" t="s">
        <v>13</v>
      </c>
      <c r="H30" s="2" t="s">
        <v>59</v>
      </c>
      <c r="I30" s="5" t="str">
        <f>HYPERLINK("http://slimages.macys.com/is/image/MCY/3363260 ")</f>
        <v xml:space="preserve">http://slimages.macys.com/is/image/MCY/3363260 </v>
      </c>
    </row>
    <row r="31" spans="1:9" ht="92" x14ac:dyDescent="0.2">
      <c r="A31" s="2" t="s">
        <v>60</v>
      </c>
      <c r="B31" s="3">
        <v>1</v>
      </c>
      <c r="C31" s="4">
        <v>40</v>
      </c>
      <c r="D31" s="3" t="s">
        <v>61</v>
      </c>
      <c r="E31" s="2" t="s">
        <v>17</v>
      </c>
      <c r="F31" s="2" t="s">
        <v>58</v>
      </c>
      <c r="G31" s="2" t="s">
        <v>13</v>
      </c>
      <c r="H31" s="2" t="s">
        <v>59</v>
      </c>
      <c r="I31" s="5" t="str">
        <f>HYPERLINK("http://slimages.macys.com/is/image/MCY/3363260 ")</f>
        <v xml:space="preserve">http://slimages.macys.com/is/image/MCY/3363260 </v>
      </c>
    </row>
    <row r="32" spans="1:9" ht="92" x14ac:dyDescent="0.2">
      <c r="A32" s="2" t="s">
        <v>60</v>
      </c>
      <c r="B32" s="3">
        <v>1</v>
      </c>
      <c r="C32" s="4">
        <v>40</v>
      </c>
      <c r="D32" s="3" t="s">
        <v>61</v>
      </c>
      <c r="E32" s="2" t="s">
        <v>17</v>
      </c>
      <c r="F32" s="2" t="s">
        <v>58</v>
      </c>
      <c r="G32" s="2" t="s">
        <v>13</v>
      </c>
      <c r="H32" s="2" t="s">
        <v>59</v>
      </c>
      <c r="I32" s="5" t="str">
        <f>HYPERLINK("http://slimages.macys.com/is/image/MCY/3363260 ")</f>
        <v xml:space="preserve">http://slimages.macys.com/is/image/MCY/3363260 </v>
      </c>
    </row>
    <row r="33" spans="1:9" ht="79" x14ac:dyDescent="0.2">
      <c r="A33" s="2" t="s">
        <v>62</v>
      </c>
      <c r="B33" s="3">
        <v>1</v>
      </c>
      <c r="C33" s="4">
        <v>148</v>
      </c>
      <c r="D33" s="3" t="s">
        <v>63</v>
      </c>
      <c r="E33" s="2" t="s">
        <v>17</v>
      </c>
      <c r="F33" s="2" t="s">
        <v>64</v>
      </c>
      <c r="G33" s="2" t="s">
        <v>13</v>
      </c>
      <c r="H33" s="2" t="s">
        <v>65</v>
      </c>
      <c r="I33" s="5" t="str">
        <f>HYPERLINK("http://slimages.macys.com/is/image/MCY/9741252 ")</f>
        <v xml:space="preserve">http://slimages.macys.com/is/image/MCY/9741252 </v>
      </c>
    </row>
    <row r="34" spans="1:9" ht="92" x14ac:dyDescent="0.2">
      <c r="A34" s="2" t="s">
        <v>66</v>
      </c>
      <c r="B34" s="3">
        <v>1</v>
      </c>
      <c r="C34" s="4">
        <v>150</v>
      </c>
      <c r="D34" s="3" t="s">
        <v>67</v>
      </c>
      <c r="E34" s="2" t="s">
        <v>17</v>
      </c>
      <c r="F34" s="2" t="s">
        <v>68</v>
      </c>
      <c r="G34" s="2" t="s">
        <v>13</v>
      </c>
      <c r="H34" s="2" t="s">
        <v>69</v>
      </c>
      <c r="I34" s="5" t="str">
        <f>HYPERLINK("http://slimages.macys.com/is/image/MCY/9887119 ")</f>
        <v xml:space="preserve">http://slimages.macys.com/is/image/MCY/9887119 </v>
      </c>
    </row>
    <row r="35" spans="1:9" ht="92" x14ac:dyDescent="0.2">
      <c r="A35" s="2" t="s">
        <v>70</v>
      </c>
      <c r="B35" s="3">
        <v>1</v>
      </c>
      <c r="C35" s="4">
        <v>150</v>
      </c>
      <c r="D35" s="3" t="s">
        <v>71</v>
      </c>
      <c r="E35" s="2" t="s">
        <v>72</v>
      </c>
      <c r="F35" s="2" t="s">
        <v>68</v>
      </c>
      <c r="G35" s="2" t="s">
        <v>13</v>
      </c>
      <c r="H35" s="2" t="s">
        <v>69</v>
      </c>
      <c r="I35" s="5" t="str">
        <f>HYPERLINK("http://slimages.macys.com/is/image/MCY/9887119 ")</f>
        <v xml:space="preserve">http://slimages.macys.com/is/image/MCY/9887119 </v>
      </c>
    </row>
    <row r="36" spans="1:9" ht="53" x14ac:dyDescent="0.2">
      <c r="A36" s="2" t="s">
        <v>73</v>
      </c>
      <c r="B36" s="3">
        <v>1</v>
      </c>
      <c r="C36" s="4">
        <v>125</v>
      </c>
      <c r="D36" s="3">
        <v>710794408001</v>
      </c>
      <c r="E36" s="2" t="s">
        <v>17</v>
      </c>
      <c r="F36" s="2" t="s">
        <v>74</v>
      </c>
      <c r="G36" s="2" t="s">
        <v>13</v>
      </c>
      <c r="H36" s="2" t="s">
        <v>75</v>
      </c>
      <c r="I36" s="5" t="str">
        <f>HYPERLINK("http://slimages.macys.com/is/image/MCY/15895438 ")</f>
        <v xml:space="preserve">http://slimages.macys.com/is/image/MCY/15895438 </v>
      </c>
    </row>
    <row r="37" spans="1:9" ht="66" x14ac:dyDescent="0.2">
      <c r="A37" s="2" t="s">
        <v>76</v>
      </c>
      <c r="B37" s="3">
        <v>1</v>
      </c>
      <c r="C37" s="4">
        <v>179.5</v>
      </c>
      <c r="D37" s="3">
        <v>100023225</v>
      </c>
      <c r="E37" s="2" t="s">
        <v>77</v>
      </c>
      <c r="F37" s="2" t="s">
        <v>78</v>
      </c>
      <c r="G37" s="2" t="s">
        <v>13</v>
      </c>
      <c r="H37" s="2" t="s">
        <v>79</v>
      </c>
      <c r="I37" s="5" t="str">
        <f>HYPERLINK("http://slimages.macys.com/is/image/MCY/10218150 ")</f>
        <v xml:space="preserve">http://slimages.macys.com/is/image/MCY/10218150 </v>
      </c>
    </row>
    <row r="38" spans="1:9" ht="66" x14ac:dyDescent="0.2">
      <c r="A38" s="2" t="s">
        <v>80</v>
      </c>
      <c r="B38" s="3">
        <v>1</v>
      </c>
      <c r="C38" s="4">
        <v>125</v>
      </c>
      <c r="D38" s="3" t="s">
        <v>81</v>
      </c>
      <c r="E38" s="2" t="s">
        <v>11</v>
      </c>
      <c r="F38" s="2" t="s">
        <v>12</v>
      </c>
      <c r="G38" s="2" t="s">
        <v>13</v>
      </c>
      <c r="H38" s="2" t="s">
        <v>82</v>
      </c>
      <c r="I38" s="5" t="str">
        <f>HYPERLINK("http://slimages.macys.com/is/image/MCY/16128063 ")</f>
        <v xml:space="preserve">http://slimages.macys.com/is/image/MCY/16128063 </v>
      </c>
    </row>
    <row r="39" spans="1:9" ht="66" x14ac:dyDescent="0.2">
      <c r="A39" s="2" t="s">
        <v>83</v>
      </c>
      <c r="B39" s="3">
        <v>1</v>
      </c>
      <c r="C39" s="4">
        <v>133.5</v>
      </c>
      <c r="D39" s="3" t="s">
        <v>84</v>
      </c>
      <c r="E39" s="2" t="s">
        <v>85</v>
      </c>
      <c r="F39" s="2" t="s">
        <v>86</v>
      </c>
      <c r="G39" s="2" t="s">
        <v>13</v>
      </c>
      <c r="H39" s="2" t="s">
        <v>87</v>
      </c>
      <c r="I39" s="5" t="str">
        <f>HYPERLINK("http://slimages.macys.com/is/image/MCY/13743369 ")</f>
        <v xml:space="preserve">http://slimages.macys.com/is/image/MCY/13743369 </v>
      </c>
    </row>
    <row r="40" spans="1:9" ht="66" x14ac:dyDescent="0.2">
      <c r="A40" s="2" t="s">
        <v>88</v>
      </c>
      <c r="B40" s="3">
        <v>1</v>
      </c>
      <c r="C40" s="4">
        <v>99</v>
      </c>
      <c r="D40" s="3" t="s">
        <v>89</v>
      </c>
      <c r="E40" s="2" t="s">
        <v>33</v>
      </c>
      <c r="F40" s="2" t="s">
        <v>90</v>
      </c>
      <c r="G40" s="2" t="s">
        <v>13</v>
      </c>
      <c r="H40" s="2" t="s">
        <v>91</v>
      </c>
      <c r="I40" s="5" t="str">
        <f>HYPERLINK("http://slimages.macys.com/is/image/MCY/13946981 ")</f>
        <v xml:space="preserve">http://slimages.macys.com/is/image/MCY/13946981 </v>
      </c>
    </row>
    <row r="41" spans="1:9" ht="53" x14ac:dyDescent="0.2">
      <c r="A41" s="2" t="s">
        <v>92</v>
      </c>
      <c r="B41" s="3">
        <v>1</v>
      </c>
      <c r="C41" s="4">
        <v>115</v>
      </c>
      <c r="D41" s="3" t="s">
        <v>93</v>
      </c>
      <c r="E41" s="2" t="s">
        <v>94</v>
      </c>
      <c r="F41" s="2" t="s">
        <v>12</v>
      </c>
      <c r="G41" s="2" t="s">
        <v>13</v>
      </c>
      <c r="H41" s="2" t="s">
        <v>95</v>
      </c>
      <c r="I41" s="5" t="str">
        <f>HYPERLINK("http://slimages.macys.com/is/image/MCY/8185648 ")</f>
        <v xml:space="preserve">http://slimages.macys.com/is/image/MCY/8185648 </v>
      </c>
    </row>
    <row r="42" spans="1:9" ht="53" x14ac:dyDescent="0.2">
      <c r="A42" s="2" t="s">
        <v>96</v>
      </c>
      <c r="B42" s="3">
        <v>1</v>
      </c>
      <c r="C42" s="4">
        <v>79.989999999999995</v>
      </c>
      <c r="D42" s="3">
        <v>723340450</v>
      </c>
      <c r="E42" s="2" t="s">
        <v>33</v>
      </c>
      <c r="F42" s="2" t="s">
        <v>97</v>
      </c>
      <c r="G42" s="2" t="s">
        <v>13</v>
      </c>
      <c r="H42" s="2" t="s">
        <v>98</v>
      </c>
      <c r="I42" s="5" t="str">
        <f>HYPERLINK("http://slimages.macys.com/is/image/MCY/15721232 ")</f>
        <v xml:space="preserve">http://slimages.macys.com/is/image/MCY/15721232 </v>
      </c>
    </row>
    <row r="43" spans="1:9" ht="53" x14ac:dyDescent="0.2">
      <c r="A43" s="2" t="s">
        <v>99</v>
      </c>
      <c r="B43" s="3">
        <v>2</v>
      </c>
      <c r="C43" s="4">
        <v>178</v>
      </c>
      <c r="D43" s="3" t="s">
        <v>100</v>
      </c>
      <c r="E43" s="2" t="s">
        <v>101</v>
      </c>
      <c r="F43" s="2" t="s">
        <v>102</v>
      </c>
      <c r="G43" s="2" t="s">
        <v>13</v>
      </c>
      <c r="H43" s="2" t="s">
        <v>103</v>
      </c>
      <c r="I43" s="5" t="str">
        <f>HYPERLINK("http://slimages.macys.com/is/image/MCY/16181092 ")</f>
        <v xml:space="preserve">http://slimages.macys.com/is/image/MCY/16181092 </v>
      </c>
    </row>
    <row r="44" spans="1:9" ht="53" x14ac:dyDescent="0.2">
      <c r="A44" s="2" t="s">
        <v>99</v>
      </c>
      <c r="B44" s="3">
        <v>1</v>
      </c>
      <c r="C44" s="4">
        <v>89</v>
      </c>
      <c r="D44" s="3" t="s">
        <v>100</v>
      </c>
      <c r="E44" s="2" t="s">
        <v>101</v>
      </c>
      <c r="F44" s="2" t="s">
        <v>102</v>
      </c>
      <c r="G44" s="2" t="s">
        <v>13</v>
      </c>
      <c r="H44" s="2" t="s">
        <v>103</v>
      </c>
      <c r="I44" s="5" t="str">
        <f>HYPERLINK("http://slimages.macys.com/is/image/MCY/16181092 ")</f>
        <v xml:space="preserve">http://slimages.macys.com/is/image/MCY/16181092 </v>
      </c>
    </row>
    <row r="45" spans="1:9" ht="53" x14ac:dyDescent="0.2">
      <c r="A45" s="2" t="s">
        <v>99</v>
      </c>
      <c r="B45" s="3">
        <v>2</v>
      </c>
      <c r="C45" s="4">
        <v>178</v>
      </c>
      <c r="D45" s="3" t="s">
        <v>100</v>
      </c>
      <c r="E45" s="2" t="s">
        <v>101</v>
      </c>
      <c r="F45" s="2" t="s">
        <v>102</v>
      </c>
      <c r="G45" s="2" t="s">
        <v>13</v>
      </c>
      <c r="H45" s="2" t="s">
        <v>103</v>
      </c>
      <c r="I45" s="5" t="str">
        <f>HYPERLINK("http://slimages.macys.com/is/image/MCY/16181092 ")</f>
        <v xml:space="preserve">http://slimages.macys.com/is/image/MCY/16181092 </v>
      </c>
    </row>
    <row r="46" spans="1:9" ht="66" x14ac:dyDescent="0.2">
      <c r="A46" s="2" t="s">
        <v>104</v>
      </c>
      <c r="B46" s="3">
        <v>1</v>
      </c>
      <c r="C46" s="4">
        <v>90</v>
      </c>
      <c r="D46" s="3" t="s">
        <v>105</v>
      </c>
      <c r="E46" s="2" t="s">
        <v>106</v>
      </c>
      <c r="F46" s="2" t="s">
        <v>90</v>
      </c>
      <c r="G46" s="2" t="s">
        <v>13</v>
      </c>
      <c r="H46" s="2" t="s">
        <v>107</v>
      </c>
      <c r="I46" s="5" t="str">
        <f>HYPERLINK("http://slimages.macys.com/is/image/MCY/14530227 ")</f>
        <v xml:space="preserve">http://slimages.macys.com/is/image/MCY/14530227 </v>
      </c>
    </row>
    <row r="47" spans="1:9" ht="66" x14ac:dyDescent="0.2">
      <c r="A47" s="2" t="s">
        <v>108</v>
      </c>
      <c r="B47" s="3">
        <v>1</v>
      </c>
      <c r="C47" s="4">
        <v>120</v>
      </c>
      <c r="D47" s="3" t="s">
        <v>109</v>
      </c>
      <c r="E47" s="2" t="s">
        <v>33</v>
      </c>
      <c r="F47" s="2" t="s">
        <v>110</v>
      </c>
      <c r="G47" s="2" t="s">
        <v>13</v>
      </c>
      <c r="H47" s="2" t="s">
        <v>35</v>
      </c>
      <c r="I47" s="5" t="str">
        <f>HYPERLINK("http://slimages.macys.com/is/image/MCY/16268866 ")</f>
        <v xml:space="preserve">http://slimages.macys.com/is/image/MCY/16268866 </v>
      </c>
    </row>
    <row r="48" spans="1:9" ht="53" x14ac:dyDescent="0.2">
      <c r="A48" s="2" t="s">
        <v>111</v>
      </c>
      <c r="B48" s="3">
        <v>1</v>
      </c>
      <c r="C48" s="4">
        <v>98.5</v>
      </c>
      <c r="D48" s="3">
        <v>710744675001</v>
      </c>
      <c r="E48" s="2" t="s">
        <v>11</v>
      </c>
      <c r="F48" s="2" t="s">
        <v>74</v>
      </c>
      <c r="G48" s="2" t="s">
        <v>13</v>
      </c>
      <c r="H48" s="2" t="s">
        <v>112</v>
      </c>
      <c r="I48" s="5" t="str">
        <f>HYPERLINK("http://slimages.macys.com/is/image/MCY/10700495 ")</f>
        <v xml:space="preserve">http://slimages.macys.com/is/image/MCY/10700495 </v>
      </c>
    </row>
    <row r="49" spans="1:9" ht="53" x14ac:dyDescent="0.2">
      <c r="A49" s="2" t="s">
        <v>113</v>
      </c>
      <c r="B49" s="3">
        <v>1</v>
      </c>
      <c r="C49" s="4">
        <v>89.5</v>
      </c>
      <c r="D49" s="3">
        <v>710680792026</v>
      </c>
      <c r="E49" s="2" t="s">
        <v>11</v>
      </c>
      <c r="F49" s="2" t="s">
        <v>74</v>
      </c>
      <c r="G49" s="2" t="s">
        <v>13</v>
      </c>
      <c r="H49" s="2" t="s">
        <v>112</v>
      </c>
      <c r="I49" s="5" t="str">
        <f>HYPERLINK("http://slimages.macys.com/is/image/MCY/14652351 ")</f>
        <v xml:space="preserve">http://slimages.macys.com/is/image/MCY/14652351 </v>
      </c>
    </row>
    <row r="50" spans="1:9" ht="53" x14ac:dyDescent="0.2">
      <c r="A50" s="2" t="s">
        <v>114</v>
      </c>
      <c r="B50" s="3">
        <v>1</v>
      </c>
      <c r="C50" s="4">
        <v>110</v>
      </c>
      <c r="D50" s="3" t="s">
        <v>115</v>
      </c>
      <c r="E50" s="2" t="s">
        <v>116</v>
      </c>
      <c r="F50" s="2" t="s">
        <v>117</v>
      </c>
      <c r="G50" s="2" t="s">
        <v>13</v>
      </c>
      <c r="H50" s="2" t="s">
        <v>118</v>
      </c>
      <c r="I50" s="5" t="str">
        <f>HYPERLINK("http://slimages.macys.com/is/image/MCY/15566276 ")</f>
        <v xml:space="preserve">http://slimages.macys.com/is/image/MCY/15566276 </v>
      </c>
    </row>
    <row r="51" spans="1:9" ht="53" x14ac:dyDescent="0.2">
      <c r="A51" s="2" t="s">
        <v>114</v>
      </c>
      <c r="B51" s="3">
        <v>1</v>
      </c>
      <c r="C51" s="4">
        <v>110</v>
      </c>
      <c r="D51" s="3" t="s">
        <v>115</v>
      </c>
      <c r="E51" s="2" t="s">
        <v>17</v>
      </c>
      <c r="F51" s="2" t="s">
        <v>117</v>
      </c>
      <c r="G51" s="2" t="s">
        <v>13</v>
      </c>
      <c r="H51" s="2" t="s">
        <v>118</v>
      </c>
      <c r="I51" s="5" t="str">
        <f>HYPERLINK("http://slimages.macys.com/is/image/MCY/15566276 ")</f>
        <v xml:space="preserve">http://slimages.macys.com/is/image/MCY/15566276 </v>
      </c>
    </row>
    <row r="52" spans="1:9" ht="66" x14ac:dyDescent="0.2">
      <c r="A52" s="2" t="s">
        <v>119</v>
      </c>
      <c r="B52" s="3">
        <v>1</v>
      </c>
      <c r="C52" s="4">
        <v>99.8</v>
      </c>
      <c r="D52" s="3" t="s">
        <v>120</v>
      </c>
      <c r="E52" s="2" t="s">
        <v>17</v>
      </c>
      <c r="F52" s="2" t="s">
        <v>29</v>
      </c>
      <c r="G52" s="2" t="s">
        <v>13</v>
      </c>
      <c r="H52" s="2" t="s">
        <v>121</v>
      </c>
      <c r="I52" s="5" t="str">
        <f>HYPERLINK("http://slimages.macys.com/is/image/MCY/16433455 ")</f>
        <v xml:space="preserve">http://slimages.macys.com/is/image/MCY/16433455 </v>
      </c>
    </row>
    <row r="53" spans="1:9" ht="53" x14ac:dyDescent="0.2">
      <c r="A53" s="2" t="s">
        <v>122</v>
      </c>
      <c r="B53" s="3">
        <v>1</v>
      </c>
      <c r="C53" s="4">
        <v>100</v>
      </c>
      <c r="D53" s="3" t="s">
        <v>123</v>
      </c>
      <c r="E53" s="2" t="s">
        <v>124</v>
      </c>
      <c r="F53" s="2" t="s">
        <v>125</v>
      </c>
      <c r="G53" s="2" t="s">
        <v>13</v>
      </c>
      <c r="H53" s="2" t="s">
        <v>126</v>
      </c>
      <c r="I53" s="5" t="str">
        <f>HYPERLINK("http://slimages.macys.com/is/image/MCY/11847286 ")</f>
        <v xml:space="preserve">http://slimages.macys.com/is/image/MCY/11847286 </v>
      </c>
    </row>
    <row r="54" spans="1:9" ht="53" x14ac:dyDescent="0.2">
      <c r="A54" s="2" t="s">
        <v>127</v>
      </c>
      <c r="B54" s="3">
        <v>1</v>
      </c>
      <c r="C54" s="4">
        <v>99.5</v>
      </c>
      <c r="D54" s="3" t="s">
        <v>128</v>
      </c>
      <c r="E54" s="2" t="s">
        <v>33</v>
      </c>
      <c r="F54" s="2" t="s">
        <v>117</v>
      </c>
      <c r="G54" s="2" t="s">
        <v>13</v>
      </c>
      <c r="H54" s="2" t="s">
        <v>118</v>
      </c>
      <c r="I54" s="5" t="str">
        <f>HYPERLINK("http://slimages.macys.com/is/image/MCY/15655107 ")</f>
        <v xml:space="preserve">http://slimages.macys.com/is/image/MCY/15655107 </v>
      </c>
    </row>
    <row r="55" spans="1:9" ht="66" x14ac:dyDescent="0.2">
      <c r="A55" s="2" t="s">
        <v>129</v>
      </c>
      <c r="B55" s="3">
        <v>1</v>
      </c>
      <c r="C55" s="4">
        <v>98</v>
      </c>
      <c r="D55" s="3" t="s">
        <v>130</v>
      </c>
      <c r="E55" s="2" t="s">
        <v>17</v>
      </c>
      <c r="F55" s="2" t="s">
        <v>131</v>
      </c>
      <c r="G55" s="2" t="s">
        <v>13</v>
      </c>
      <c r="H55" s="2" t="s">
        <v>132</v>
      </c>
      <c r="I55" s="5" t="str">
        <f>HYPERLINK("http://slimages.macys.com/is/image/MCY/15751829 ")</f>
        <v xml:space="preserve">http://slimages.macys.com/is/image/MCY/15751829 </v>
      </c>
    </row>
    <row r="56" spans="1:9" ht="53" x14ac:dyDescent="0.2">
      <c r="A56" s="2" t="s">
        <v>133</v>
      </c>
      <c r="B56" s="3">
        <v>1</v>
      </c>
      <c r="C56" s="4">
        <v>99</v>
      </c>
      <c r="D56" s="3" t="s">
        <v>134</v>
      </c>
      <c r="E56" s="2" t="s">
        <v>53</v>
      </c>
      <c r="F56" s="2" t="s">
        <v>22</v>
      </c>
      <c r="G56" s="2"/>
      <c r="H56" s="2"/>
      <c r="I56" s="5" t="str">
        <f>HYPERLINK("http://slimages.macys.com/is/image/MCY/16697244 ")</f>
        <v xml:space="preserve">http://slimages.macys.com/is/image/MCY/16697244 </v>
      </c>
    </row>
    <row r="57" spans="1:9" ht="66" x14ac:dyDescent="0.2">
      <c r="A57" s="2" t="s">
        <v>135</v>
      </c>
      <c r="B57" s="3">
        <v>1</v>
      </c>
      <c r="C57" s="4">
        <v>69.989999999999995</v>
      </c>
      <c r="D57" s="3" t="s">
        <v>136</v>
      </c>
      <c r="E57" s="2" t="s">
        <v>17</v>
      </c>
      <c r="F57" s="2" t="s">
        <v>137</v>
      </c>
      <c r="G57" s="2" t="s">
        <v>138</v>
      </c>
      <c r="H57" s="2" t="s">
        <v>139</v>
      </c>
      <c r="I57" s="5" t="str">
        <f>HYPERLINK("http://images.bloomingdales.com/is/image/BLM/9951068 ")</f>
        <v xml:space="preserve">http://images.bloomingdales.com/is/image/BLM/9951068 </v>
      </c>
    </row>
    <row r="58" spans="1:9" ht="66" x14ac:dyDescent="0.2">
      <c r="A58" s="2" t="s">
        <v>140</v>
      </c>
      <c r="B58" s="3">
        <v>1</v>
      </c>
      <c r="C58" s="4">
        <v>100</v>
      </c>
      <c r="D58" s="3" t="s">
        <v>141</v>
      </c>
      <c r="E58" s="2" t="s">
        <v>33</v>
      </c>
      <c r="F58" s="2" t="s">
        <v>110</v>
      </c>
      <c r="G58" s="2"/>
      <c r="H58" s="2"/>
      <c r="I58" s="5" t="str">
        <f>HYPERLINK("http://slimages.macys.com/is/image/MCY/16268883 ")</f>
        <v xml:space="preserve">http://slimages.macys.com/is/image/MCY/16268883 </v>
      </c>
    </row>
    <row r="59" spans="1:9" ht="53" x14ac:dyDescent="0.2">
      <c r="A59" s="2" t="s">
        <v>142</v>
      </c>
      <c r="B59" s="3">
        <v>1</v>
      </c>
      <c r="C59" s="4">
        <v>99</v>
      </c>
      <c r="D59" s="3" t="s">
        <v>143</v>
      </c>
      <c r="E59" s="2" t="s">
        <v>17</v>
      </c>
      <c r="F59" s="2" t="s">
        <v>144</v>
      </c>
      <c r="G59" s="2" t="s">
        <v>13</v>
      </c>
      <c r="H59" s="2" t="s">
        <v>145</v>
      </c>
      <c r="I59" s="5" t="str">
        <f>HYPERLINK("http://slimages.macys.com/is/image/MCY/2902955 ")</f>
        <v xml:space="preserve">http://slimages.macys.com/is/image/MCY/2902955 </v>
      </c>
    </row>
    <row r="60" spans="1:9" ht="53" x14ac:dyDescent="0.2">
      <c r="A60" s="2" t="s">
        <v>146</v>
      </c>
      <c r="B60" s="3">
        <v>1</v>
      </c>
      <c r="C60" s="4">
        <v>79.5</v>
      </c>
      <c r="D60" s="3" t="s">
        <v>147</v>
      </c>
      <c r="E60" s="2" t="s">
        <v>148</v>
      </c>
      <c r="F60" s="2" t="s">
        <v>43</v>
      </c>
      <c r="G60" s="2"/>
      <c r="H60" s="2"/>
      <c r="I60" s="5" t="str">
        <f>HYPERLINK("http://slimages.macys.com/is/image/MCY/16582784 ")</f>
        <v xml:space="preserve">http://slimages.macys.com/is/image/MCY/16582784 </v>
      </c>
    </row>
    <row r="61" spans="1:9" ht="53" x14ac:dyDescent="0.2">
      <c r="A61" s="2" t="s">
        <v>149</v>
      </c>
      <c r="B61" s="3">
        <v>1</v>
      </c>
      <c r="C61" s="4">
        <v>79</v>
      </c>
      <c r="D61" s="3" t="s">
        <v>150</v>
      </c>
      <c r="E61" s="2" t="s">
        <v>17</v>
      </c>
      <c r="F61" s="2" t="s">
        <v>22</v>
      </c>
      <c r="G61" s="2" t="s">
        <v>13</v>
      </c>
      <c r="H61" s="2" t="s">
        <v>98</v>
      </c>
      <c r="I61" s="5" t="str">
        <f>HYPERLINK("http://slimages.macys.com/is/image/MCY/16075861 ")</f>
        <v xml:space="preserve">http://slimages.macys.com/is/image/MCY/16075861 </v>
      </c>
    </row>
    <row r="62" spans="1:9" ht="53" x14ac:dyDescent="0.2">
      <c r="A62" s="2" t="s">
        <v>149</v>
      </c>
      <c r="B62" s="3">
        <v>4</v>
      </c>
      <c r="C62" s="4">
        <v>316</v>
      </c>
      <c r="D62" s="3" t="s">
        <v>150</v>
      </c>
      <c r="E62" s="2" t="s">
        <v>17</v>
      </c>
      <c r="F62" s="2" t="s">
        <v>22</v>
      </c>
      <c r="G62" s="2" t="s">
        <v>13</v>
      </c>
      <c r="H62" s="2" t="s">
        <v>98</v>
      </c>
      <c r="I62" s="5" t="str">
        <f>HYPERLINK("http://slimages.macys.com/is/image/MCY/16075861 ")</f>
        <v xml:space="preserve">http://slimages.macys.com/is/image/MCY/16075861 </v>
      </c>
    </row>
    <row r="63" spans="1:9" ht="53" x14ac:dyDescent="0.2">
      <c r="A63" s="2" t="s">
        <v>149</v>
      </c>
      <c r="B63" s="3">
        <v>1</v>
      </c>
      <c r="C63" s="4">
        <v>79</v>
      </c>
      <c r="D63" s="3" t="s">
        <v>150</v>
      </c>
      <c r="E63" s="2" t="s">
        <v>17</v>
      </c>
      <c r="F63" s="2" t="s">
        <v>22</v>
      </c>
      <c r="G63" s="2" t="s">
        <v>13</v>
      </c>
      <c r="H63" s="2" t="s">
        <v>98</v>
      </c>
      <c r="I63" s="5" t="str">
        <f>HYPERLINK("http://slimages.macys.com/is/image/MCY/16075861 ")</f>
        <v xml:space="preserve">http://slimages.macys.com/is/image/MCY/16075861 </v>
      </c>
    </row>
    <row r="64" spans="1:9" ht="53" x14ac:dyDescent="0.2">
      <c r="A64" s="2" t="s">
        <v>151</v>
      </c>
      <c r="B64" s="3">
        <v>1</v>
      </c>
      <c r="C64" s="4">
        <v>40</v>
      </c>
      <c r="D64" s="3" t="s">
        <v>152</v>
      </c>
      <c r="E64" s="2" t="s">
        <v>17</v>
      </c>
      <c r="F64" s="2" t="s">
        <v>29</v>
      </c>
      <c r="G64" s="2" t="s">
        <v>13</v>
      </c>
      <c r="H64" s="2" t="s">
        <v>30</v>
      </c>
      <c r="I64" s="5" t="str">
        <f>HYPERLINK("http://slimages.macys.com/is/image/MCY/9344647 ")</f>
        <v xml:space="preserve">http://slimages.macys.com/is/image/MCY/9344647 </v>
      </c>
    </row>
    <row r="65" spans="1:9" ht="53" x14ac:dyDescent="0.2">
      <c r="A65" s="2" t="s">
        <v>153</v>
      </c>
      <c r="B65" s="3">
        <v>2</v>
      </c>
      <c r="C65" s="4">
        <v>179</v>
      </c>
      <c r="D65" s="3" t="s">
        <v>154</v>
      </c>
      <c r="E65" s="2" t="s">
        <v>17</v>
      </c>
      <c r="F65" s="2" t="s">
        <v>144</v>
      </c>
      <c r="G65" s="2" t="s">
        <v>13</v>
      </c>
      <c r="H65" s="2" t="s">
        <v>155</v>
      </c>
      <c r="I65" s="5" t="str">
        <f>HYPERLINK("http://slimages.macys.com/is/image/MCY/1361939 ")</f>
        <v xml:space="preserve">http://slimages.macys.com/is/image/MCY/1361939 </v>
      </c>
    </row>
    <row r="66" spans="1:9" ht="53" x14ac:dyDescent="0.2">
      <c r="A66" s="2" t="s">
        <v>153</v>
      </c>
      <c r="B66" s="3">
        <v>1</v>
      </c>
      <c r="C66" s="4">
        <v>89.5</v>
      </c>
      <c r="D66" s="3" t="s">
        <v>154</v>
      </c>
      <c r="E66" s="2" t="s">
        <v>17</v>
      </c>
      <c r="F66" s="2" t="s">
        <v>144</v>
      </c>
      <c r="G66" s="2" t="s">
        <v>13</v>
      </c>
      <c r="H66" s="2" t="s">
        <v>155</v>
      </c>
      <c r="I66" s="5" t="str">
        <f>HYPERLINK("http://slimages.macys.com/is/image/MCY/1361939 ")</f>
        <v xml:space="preserve">http://slimages.macys.com/is/image/MCY/1361939 </v>
      </c>
    </row>
    <row r="67" spans="1:9" ht="92" x14ac:dyDescent="0.2">
      <c r="A67" s="2" t="s">
        <v>156</v>
      </c>
      <c r="B67" s="3">
        <v>2</v>
      </c>
      <c r="C67" s="4">
        <v>359</v>
      </c>
      <c r="D67" s="3">
        <v>100065149</v>
      </c>
      <c r="E67" s="2" t="s">
        <v>11</v>
      </c>
      <c r="F67" s="2" t="s">
        <v>78</v>
      </c>
      <c r="G67" s="2" t="s">
        <v>13</v>
      </c>
      <c r="H67" s="2" t="s">
        <v>157</v>
      </c>
      <c r="I67" s="5" t="str">
        <f>HYPERLINK("http://slimages.macys.com/is/image/MCY/14633749 ")</f>
        <v xml:space="preserve">http://slimages.macys.com/is/image/MCY/14633749 </v>
      </c>
    </row>
    <row r="68" spans="1:9" ht="66" x14ac:dyDescent="0.2">
      <c r="A68" s="2" t="s">
        <v>158</v>
      </c>
      <c r="B68" s="3">
        <v>1</v>
      </c>
      <c r="C68" s="4">
        <v>69</v>
      </c>
      <c r="D68" s="3" t="s">
        <v>159</v>
      </c>
      <c r="E68" s="2" t="s">
        <v>33</v>
      </c>
      <c r="F68" s="2" t="s">
        <v>90</v>
      </c>
      <c r="G68" s="2" t="s">
        <v>13</v>
      </c>
      <c r="H68" s="2" t="s">
        <v>35</v>
      </c>
      <c r="I68" s="5" t="str">
        <f>HYPERLINK("http://slimages.macys.com/is/image/MCY/14010431 ")</f>
        <v xml:space="preserve">http://slimages.macys.com/is/image/MCY/14010431 </v>
      </c>
    </row>
    <row r="69" spans="1:9" ht="53" x14ac:dyDescent="0.2">
      <c r="A69" s="2" t="s">
        <v>160</v>
      </c>
      <c r="B69" s="3">
        <v>1</v>
      </c>
      <c r="C69" s="4">
        <v>58.5</v>
      </c>
      <c r="D69" s="3">
        <v>191110078</v>
      </c>
      <c r="E69" s="2" t="s">
        <v>161</v>
      </c>
      <c r="F69" s="2" t="s">
        <v>97</v>
      </c>
      <c r="G69" s="2" t="s">
        <v>13</v>
      </c>
      <c r="H69" s="2" t="s">
        <v>145</v>
      </c>
      <c r="I69" s="5" t="str">
        <f>HYPERLINK("http://slimages.macys.com/is/image/MCY/2927814 ")</f>
        <v xml:space="preserve">http://slimages.macys.com/is/image/MCY/2927814 </v>
      </c>
    </row>
    <row r="70" spans="1:9" ht="53" x14ac:dyDescent="0.2">
      <c r="A70" s="2" t="s">
        <v>162</v>
      </c>
      <c r="B70" s="3">
        <v>1</v>
      </c>
      <c r="C70" s="4">
        <v>69</v>
      </c>
      <c r="D70" s="3" t="s">
        <v>163</v>
      </c>
      <c r="E70" s="2" t="s">
        <v>106</v>
      </c>
      <c r="F70" s="2" t="s">
        <v>164</v>
      </c>
      <c r="G70" s="2" t="s">
        <v>13</v>
      </c>
      <c r="H70" s="2" t="s">
        <v>112</v>
      </c>
      <c r="I70" s="5" t="str">
        <f>HYPERLINK("http://slimages.macys.com/is/image/MCY/16312602 ")</f>
        <v xml:space="preserve">http://slimages.macys.com/is/image/MCY/16312602 </v>
      </c>
    </row>
    <row r="71" spans="1:9" ht="53" x14ac:dyDescent="0.2">
      <c r="A71" s="2" t="s">
        <v>165</v>
      </c>
      <c r="B71" s="3">
        <v>1</v>
      </c>
      <c r="C71" s="4">
        <v>70</v>
      </c>
      <c r="D71" s="3" t="s">
        <v>166</v>
      </c>
      <c r="E71" s="2" t="s">
        <v>167</v>
      </c>
      <c r="F71" s="2" t="s">
        <v>168</v>
      </c>
      <c r="G71" s="2" t="s">
        <v>13</v>
      </c>
      <c r="H71" s="2" t="s">
        <v>112</v>
      </c>
      <c r="I71" s="5" t="str">
        <f>HYPERLINK("http://slimages.macys.com/is/image/MCY/14336007 ")</f>
        <v xml:space="preserve">http://slimages.macys.com/is/image/MCY/14336007 </v>
      </c>
    </row>
    <row r="72" spans="1:9" ht="53" x14ac:dyDescent="0.2">
      <c r="A72" s="2" t="s">
        <v>169</v>
      </c>
      <c r="B72" s="3">
        <v>1</v>
      </c>
      <c r="C72" s="4">
        <v>53.5</v>
      </c>
      <c r="D72" s="3">
        <v>45114090</v>
      </c>
      <c r="E72" s="2" t="s">
        <v>77</v>
      </c>
      <c r="F72" s="2" t="s">
        <v>97</v>
      </c>
      <c r="G72" s="2" t="s">
        <v>13</v>
      </c>
      <c r="H72" s="2" t="s">
        <v>145</v>
      </c>
      <c r="I72" s="5" t="str">
        <f>HYPERLINK("http://slimages.macys.com/is/image/MCY/14606494 ")</f>
        <v xml:space="preserve">http://slimages.macys.com/is/image/MCY/14606494 </v>
      </c>
    </row>
    <row r="73" spans="1:9" ht="53" x14ac:dyDescent="0.2">
      <c r="A73" s="2" t="s">
        <v>170</v>
      </c>
      <c r="B73" s="3">
        <v>1</v>
      </c>
      <c r="C73" s="4">
        <v>53.5</v>
      </c>
      <c r="D73" s="3">
        <v>295070003</v>
      </c>
      <c r="E73" s="2" t="s">
        <v>148</v>
      </c>
      <c r="F73" s="2" t="s">
        <v>97</v>
      </c>
      <c r="G73" s="2" t="s">
        <v>13</v>
      </c>
      <c r="H73" s="2" t="s">
        <v>145</v>
      </c>
      <c r="I73" s="5" t="str">
        <f>HYPERLINK("http://slimages.macys.com/is/image/MCY/9309459 ")</f>
        <v xml:space="preserve">http://slimages.macys.com/is/image/MCY/9309459 </v>
      </c>
    </row>
    <row r="74" spans="1:9" ht="53" x14ac:dyDescent="0.2">
      <c r="A74" s="2" t="s">
        <v>170</v>
      </c>
      <c r="B74" s="3">
        <v>1</v>
      </c>
      <c r="C74" s="4">
        <v>53.5</v>
      </c>
      <c r="D74" s="3">
        <v>295070003</v>
      </c>
      <c r="E74" s="2" t="s">
        <v>148</v>
      </c>
      <c r="F74" s="2" t="s">
        <v>97</v>
      </c>
      <c r="G74" s="2" t="s">
        <v>13</v>
      </c>
      <c r="H74" s="2" t="s">
        <v>145</v>
      </c>
      <c r="I74" s="5" t="str">
        <f>HYPERLINK("http://slimages.macys.com/is/image/MCY/9309459 ")</f>
        <v xml:space="preserve">http://slimages.macys.com/is/image/MCY/9309459 </v>
      </c>
    </row>
    <row r="75" spans="1:9" ht="53" x14ac:dyDescent="0.2">
      <c r="A75" s="2" t="s">
        <v>171</v>
      </c>
      <c r="B75" s="3">
        <v>1</v>
      </c>
      <c r="C75" s="4">
        <v>53.5</v>
      </c>
      <c r="D75" s="3">
        <v>5140641</v>
      </c>
      <c r="E75" s="2" t="s">
        <v>46</v>
      </c>
      <c r="F75" s="2" t="s">
        <v>97</v>
      </c>
      <c r="G75" s="2" t="s">
        <v>13</v>
      </c>
      <c r="H75" s="2" t="s">
        <v>155</v>
      </c>
      <c r="I75" s="5" t="str">
        <f>HYPERLINK("http://slimages.macys.com/is/image/MCY/1934881 ")</f>
        <v xml:space="preserve">http://slimages.macys.com/is/image/MCY/1934881 </v>
      </c>
    </row>
    <row r="76" spans="1:9" ht="53" x14ac:dyDescent="0.2">
      <c r="A76" s="2" t="s">
        <v>172</v>
      </c>
      <c r="B76" s="3">
        <v>2</v>
      </c>
      <c r="C76" s="4">
        <v>107</v>
      </c>
      <c r="D76" s="3">
        <v>288330484</v>
      </c>
      <c r="E76" s="2" t="s">
        <v>161</v>
      </c>
      <c r="F76" s="2" t="s">
        <v>97</v>
      </c>
      <c r="G76" s="2" t="s">
        <v>13</v>
      </c>
      <c r="H76" s="2" t="s">
        <v>173</v>
      </c>
      <c r="I76" s="5" t="str">
        <f>HYPERLINK("http://slimages.macys.com/is/image/MCY/13846679 ")</f>
        <v xml:space="preserve">http://slimages.macys.com/is/image/MCY/13846679 </v>
      </c>
    </row>
    <row r="77" spans="1:9" ht="53" x14ac:dyDescent="0.2">
      <c r="A77" s="2" t="s">
        <v>174</v>
      </c>
      <c r="B77" s="3">
        <v>1</v>
      </c>
      <c r="C77" s="4">
        <v>53.5</v>
      </c>
      <c r="D77" s="3">
        <v>5141089</v>
      </c>
      <c r="E77" s="2" t="s">
        <v>148</v>
      </c>
      <c r="F77" s="2" t="s">
        <v>97</v>
      </c>
      <c r="G77" s="2" t="s">
        <v>13</v>
      </c>
      <c r="H77" s="2" t="s">
        <v>155</v>
      </c>
      <c r="I77" s="5" t="str">
        <f>HYPERLINK("http://slimages.macys.com/is/image/MCY/1934881 ")</f>
        <v xml:space="preserve">http://slimages.macys.com/is/image/MCY/1934881 </v>
      </c>
    </row>
    <row r="78" spans="1:9" ht="53" x14ac:dyDescent="0.2">
      <c r="A78" s="2" t="s">
        <v>171</v>
      </c>
      <c r="B78" s="3">
        <v>1</v>
      </c>
      <c r="C78" s="4">
        <v>53.5</v>
      </c>
      <c r="D78" s="3">
        <v>5140641</v>
      </c>
      <c r="E78" s="2" t="s">
        <v>46</v>
      </c>
      <c r="F78" s="2" t="s">
        <v>97</v>
      </c>
      <c r="G78" s="2" t="s">
        <v>13</v>
      </c>
      <c r="H78" s="2" t="s">
        <v>155</v>
      </c>
      <c r="I78" s="5" t="str">
        <f>HYPERLINK("http://slimages.macys.com/is/image/MCY/1934881 ")</f>
        <v xml:space="preserve">http://slimages.macys.com/is/image/MCY/1934881 </v>
      </c>
    </row>
    <row r="79" spans="1:9" ht="53" x14ac:dyDescent="0.2">
      <c r="A79" s="2" t="s">
        <v>170</v>
      </c>
      <c r="B79" s="3">
        <v>1</v>
      </c>
      <c r="C79" s="4">
        <v>53.5</v>
      </c>
      <c r="D79" s="3">
        <v>295070003</v>
      </c>
      <c r="E79" s="2" t="s">
        <v>148</v>
      </c>
      <c r="F79" s="2" t="s">
        <v>97</v>
      </c>
      <c r="G79" s="2" t="s">
        <v>13</v>
      </c>
      <c r="H79" s="2" t="s">
        <v>145</v>
      </c>
      <c r="I79" s="5" t="str">
        <f>HYPERLINK("http://slimages.macys.com/is/image/MCY/9309459 ")</f>
        <v xml:space="preserve">http://slimages.macys.com/is/image/MCY/9309459 </v>
      </c>
    </row>
    <row r="80" spans="1:9" ht="53" x14ac:dyDescent="0.2">
      <c r="A80" s="2" t="s">
        <v>174</v>
      </c>
      <c r="B80" s="3">
        <v>1</v>
      </c>
      <c r="C80" s="4">
        <v>53.5</v>
      </c>
      <c r="D80" s="3">
        <v>5141089</v>
      </c>
      <c r="E80" s="2" t="s">
        <v>148</v>
      </c>
      <c r="F80" s="2" t="s">
        <v>97</v>
      </c>
      <c r="G80" s="2" t="s">
        <v>13</v>
      </c>
      <c r="H80" s="2" t="s">
        <v>155</v>
      </c>
      <c r="I80" s="5" t="str">
        <f>HYPERLINK("http://slimages.macys.com/is/image/MCY/1934881 ")</f>
        <v xml:space="preserve">http://slimages.macys.com/is/image/MCY/1934881 </v>
      </c>
    </row>
    <row r="81" spans="1:9" ht="53" x14ac:dyDescent="0.2">
      <c r="A81" s="2" t="s">
        <v>175</v>
      </c>
      <c r="B81" s="3">
        <v>1</v>
      </c>
      <c r="C81" s="4">
        <v>53.5</v>
      </c>
      <c r="D81" s="3">
        <v>574190000</v>
      </c>
      <c r="E81" s="2" t="s">
        <v>33</v>
      </c>
      <c r="F81" s="2" t="s">
        <v>97</v>
      </c>
      <c r="G81" s="2" t="s">
        <v>13</v>
      </c>
      <c r="H81" s="2" t="s">
        <v>176</v>
      </c>
      <c r="I81" s="5" t="str">
        <f>HYPERLINK("http://slimages.macys.com/is/image/MCY/10354535 ")</f>
        <v xml:space="preserve">http://slimages.macys.com/is/image/MCY/10354535 </v>
      </c>
    </row>
    <row r="82" spans="1:9" ht="53" x14ac:dyDescent="0.2">
      <c r="A82" s="2" t="s">
        <v>177</v>
      </c>
      <c r="B82" s="3">
        <v>1</v>
      </c>
      <c r="C82" s="4">
        <v>59.99</v>
      </c>
      <c r="D82" s="3">
        <v>186240002</v>
      </c>
      <c r="E82" s="2" t="s">
        <v>178</v>
      </c>
      <c r="F82" s="2" t="s">
        <v>179</v>
      </c>
      <c r="G82" s="2" t="s">
        <v>13</v>
      </c>
      <c r="H82" s="2" t="s">
        <v>145</v>
      </c>
      <c r="I82" s="5" t="str">
        <f>HYPERLINK("http://slimages.macys.com/is/image/MCY/16145780 ")</f>
        <v xml:space="preserve">http://slimages.macys.com/is/image/MCY/16145780 </v>
      </c>
    </row>
    <row r="83" spans="1:9" ht="53" x14ac:dyDescent="0.2">
      <c r="A83" s="2" t="s">
        <v>177</v>
      </c>
      <c r="B83" s="3">
        <v>1</v>
      </c>
      <c r="C83" s="4">
        <v>59.99</v>
      </c>
      <c r="D83" s="3">
        <v>186240003</v>
      </c>
      <c r="E83" s="2" t="s">
        <v>180</v>
      </c>
      <c r="F83" s="2" t="s">
        <v>179</v>
      </c>
      <c r="G83" s="2" t="s">
        <v>13</v>
      </c>
      <c r="H83" s="2" t="s">
        <v>145</v>
      </c>
      <c r="I83" s="5" t="str">
        <f>HYPERLINK("http://slimages.macys.com/is/image/MCY/16145780 ")</f>
        <v xml:space="preserve">http://slimages.macys.com/is/image/MCY/16145780 </v>
      </c>
    </row>
    <row r="84" spans="1:9" ht="53" x14ac:dyDescent="0.2">
      <c r="A84" s="2" t="s">
        <v>181</v>
      </c>
      <c r="B84" s="3">
        <v>1</v>
      </c>
      <c r="C84" s="4">
        <v>69.5</v>
      </c>
      <c r="D84" s="3" t="s">
        <v>182</v>
      </c>
      <c r="E84" s="2" t="s">
        <v>17</v>
      </c>
      <c r="F84" s="2" t="s">
        <v>43</v>
      </c>
      <c r="G84" s="2" t="s">
        <v>13</v>
      </c>
      <c r="H84" s="2" t="s">
        <v>155</v>
      </c>
      <c r="I84" s="5" t="str">
        <f>HYPERLINK("http://slimages.macys.com/is/image/MCY/9704939 ")</f>
        <v xml:space="preserve">http://slimages.macys.com/is/image/MCY/9704939 </v>
      </c>
    </row>
    <row r="85" spans="1:9" ht="53" x14ac:dyDescent="0.2">
      <c r="A85" s="2" t="s">
        <v>183</v>
      </c>
      <c r="B85" s="3">
        <v>1</v>
      </c>
      <c r="C85" s="4">
        <v>72</v>
      </c>
      <c r="D85" s="3" t="s">
        <v>184</v>
      </c>
      <c r="E85" s="2" t="s">
        <v>17</v>
      </c>
      <c r="F85" s="2" t="s">
        <v>185</v>
      </c>
      <c r="G85" s="2" t="s">
        <v>13</v>
      </c>
      <c r="H85" s="2" t="s">
        <v>186</v>
      </c>
      <c r="I85" s="5" t="str">
        <f>HYPERLINK("http://slimages.macys.com/is/image/MCY/16529466 ")</f>
        <v xml:space="preserve">http://slimages.macys.com/is/image/MCY/16529466 </v>
      </c>
    </row>
    <row r="86" spans="1:9" ht="53" x14ac:dyDescent="0.2">
      <c r="A86" s="2" t="s">
        <v>183</v>
      </c>
      <c r="B86" s="3">
        <v>1</v>
      </c>
      <c r="C86" s="4">
        <v>72</v>
      </c>
      <c r="D86" s="3" t="s">
        <v>184</v>
      </c>
      <c r="E86" s="2" t="s">
        <v>17</v>
      </c>
      <c r="F86" s="2" t="s">
        <v>185</v>
      </c>
      <c r="G86" s="2" t="s">
        <v>13</v>
      </c>
      <c r="H86" s="2" t="s">
        <v>186</v>
      </c>
      <c r="I86" s="5" t="str">
        <f>HYPERLINK("http://slimages.macys.com/is/image/MCY/16529466 ")</f>
        <v xml:space="preserve">http://slimages.macys.com/is/image/MCY/16529466 </v>
      </c>
    </row>
    <row r="87" spans="1:9" ht="53" x14ac:dyDescent="0.2">
      <c r="A87" s="2" t="s">
        <v>187</v>
      </c>
      <c r="B87" s="3">
        <v>1</v>
      </c>
      <c r="C87" s="4">
        <v>69</v>
      </c>
      <c r="D87" s="3" t="s">
        <v>188</v>
      </c>
      <c r="E87" s="2" t="s">
        <v>148</v>
      </c>
      <c r="F87" s="2" t="s">
        <v>22</v>
      </c>
      <c r="G87" s="2" t="s">
        <v>13</v>
      </c>
      <c r="H87" s="2" t="s">
        <v>98</v>
      </c>
      <c r="I87" s="5" t="str">
        <f>HYPERLINK("http://slimages.macys.com/is/image/MCY/16506228 ")</f>
        <v xml:space="preserve">http://slimages.macys.com/is/image/MCY/16506228 </v>
      </c>
    </row>
    <row r="88" spans="1:9" ht="53" x14ac:dyDescent="0.2">
      <c r="A88" s="2" t="s">
        <v>189</v>
      </c>
      <c r="B88" s="3">
        <v>1</v>
      </c>
      <c r="C88" s="4">
        <v>70.989999999999995</v>
      </c>
      <c r="D88" s="3" t="s">
        <v>190</v>
      </c>
      <c r="E88" s="2" t="s">
        <v>17</v>
      </c>
      <c r="F88" s="2" t="s">
        <v>191</v>
      </c>
      <c r="G88" s="2" t="s">
        <v>13</v>
      </c>
      <c r="H88" s="2" t="s">
        <v>192</v>
      </c>
      <c r="I88" s="5" t="str">
        <f>HYPERLINK("http://slimages.macys.com/is/image/MCY/15641885 ")</f>
        <v xml:space="preserve">http://slimages.macys.com/is/image/MCY/15641885 </v>
      </c>
    </row>
    <row r="89" spans="1:9" ht="53" x14ac:dyDescent="0.2">
      <c r="A89" s="2" t="s">
        <v>193</v>
      </c>
      <c r="B89" s="3">
        <v>1</v>
      </c>
      <c r="C89" s="4">
        <v>70.989999999999995</v>
      </c>
      <c r="D89" s="3" t="s">
        <v>194</v>
      </c>
      <c r="E89" s="2" t="s">
        <v>195</v>
      </c>
      <c r="F89" s="2" t="s">
        <v>191</v>
      </c>
      <c r="G89" s="2" t="s">
        <v>13</v>
      </c>
      <c r="H89" s="2" t="s">
        <v>155</v>
      </c>
      <c r="I89" s="5" t="str">
        <f>HYPERLINK("http://slimages.macys.com/is/image/MCY/12670346 ")</f>
        <v xml:space="preserve">http://slimages.macys.com/is/image/MCY/12670346 </v>
      </c>
    </row>
    <row r="90" spans="1:9" ht="53" x14ac:dyDescent="0.2">
      <c r="A90" s="2" t="s">
        <v>196</v>
      </c>
      <c r="B90" s="3">
        <v>1</v>
      </c>
      <c r="C90" s="4">
        <v>85</v>
      </c>
      <c r="D90" s="3">
        <v>405069598213</v>
      </c>
      <c r="E90" s="2" t="s">
        <v>197</v>
      </c>
      <c r="F90" s="2" t="s">
        <v>198</v>
      </c>
      <c r="G90" s="2" t="s">
        <v>13</v>
      </c>
      <c r="H90" s="2" t="s">
        <v>199</v>
      </c>
      <c r="I90" s="5" t="str">
        <f>HYPERLINK("http://slimages.macys.com/is/image/MCY/1510641 ")</f>
        <v xml:space="preserve">http://slimages.macys.com/is/image/MCY/1510641 </v>
      </c>
    </row>
    <row r="91" spans="1:9" ht="53" x14ac:dyDescent="0.2">
      <c r="A91" s="2" t="s">
        <v>200</v>
      </c>
      <c r="B91" s="3">
        <v>1</v>
      </c>
      <c r="C91" s="4">
        <v>42.99</v>
      </c>
      <c r="D91" s="3">
        <v>5594010</v>
      </c>
      <c r="E91" s="2" t="s">
        <v>53</v>
      </c>
      <c r="F91" s="2" t="s">
        <v>97</v>
      </c>
      <c r="G91" s="2" t="s">
        <v>13</v>
      </c>
      <c r="H91" s="2" t="s">
        <v>155</v>
      </c>
      <c r="I91" s="5" t="str">
        <f>HYPERLINK("http://slimages.macys.com/is/image/MCY/1022096 ")</f>
        <v xml:space="preserve">http://slimages.macys.com/is/image/MCY/1022096 </v>
      </c>
    </row>
    <row r="92" spans="1:9" ht="53" x14ac:dyDescent="0.2">
      <c r="A92" s="2" t="s">
        <v>201</v>
      </c>
      <c r="B92" s="3">
        <v>1</v>
      </c>
      <c r="C92" s="4">
        <v>39.99</v>
      </c>
      <c r="D92" s="3">
        <v>5010134</v>
      </c>
      <c r="E92" s="2" t="s">
        <v>85</v>
      </c>
      <c r="F92" s="2" t="s">
        <v>97</v>
      </c>
      <c r="G92" s="2" t="s">
        <v>13</v>
      </c>
      <c r="H92" s="2" t="s">
        <v>155</v>
      </c>
      <c r="I92" s="5" t="str">
        <f>HYPERLINK("http://slimages.macys.com/is/image/MCY/1515588 ")</f>
        <v xml:space="preserve">http://slimages.macys.com/is/image/MCY/1515588 </v>
      </c>
    </row>
    <row r="93" spans="1:9" ht="53" x14ac:dyDescent="0.2">
      <c r="A93" s="2" t="s">
        <v>202</v>
      </c>
      <c r="B93" s="3">
        <v>1</v>
      </c>
      <c r="C93" s="4">
        <v>44.99</v>
      </c>
      <c r="D93" s="3">
        <v>135810011</v>
      </c>
      <c r="E93" s="2" t="s">
        <v>203</v>
      </c>
      <c r="F93" s="2" t="s">
        <v>97</v>
      </c>
      <c r="G93" s="2" t="s">
        <v>13</v>
      </c>
      <c r="H93" s="2" t="s">
        <v>118</v>
      </c>
      <c r="I93" s="5" t="str">
        <f>HYPERLINK("http://slimages.macys.com/is/image/MCY/1973531 ")</f>
        <v xml:space="preserve">http://slimages.macys.com/is/image/MCY/1973531 </v>
      </c>
    </row>
    <row r="94" spans="1:9" ht="66" x14ac:dyDescent="0.2">
      <c r="A94" s="2" t="s">
        <v>204</v>
      </c>
      <c r="B94" s="3">
        <v>1</v>
      </c>
      <c r="C94" s="4">
        <v>73.989999999999995</v>
      </c>
      <c r="D94" s="3" t="s">
        <v>205</v>
      </c>
      <c r="E94" s="2" t="s">
        <v>206</v>
      </c>
      <c r="F94" s="2" t="s">
        <v>207</v>
      </c>
      <c r="G94" s="2" t="s">
        <v>13</v>
      </c>
      <c r="H94" s="2" t="s">
        <v>208</v>
      </c>
      <c r="I94" s="5" t="str">
        <f>HYPERLINK("http://slimages.macys.com/is/image/MCY/15785094 ")</f>
        <v xml:space="preserve">http://slimages.macys.com/is/image/MCY/15785094 </v>
      </c>
    </row>
    <row r="95" spans="1:9" ht="66" x14ac:dyDescent="0.2">
      <c r="A95" s="2" t="s">
        <v>209</v>
      </c>
      <c r="B95" s="3">
        <v>1</v>
      </c>
      <c r="C95" s="4">
        <v>99.5</v>
      </c>
      <c r="D95" s="3">
        <v>100075438</v>
      </c>
      <c r="E95" s="2" t="s">
        <v>33</v>
      </c>
      <c r="F95" s="2" t="s">
        <v>210</v>
      </c>
      <c r="G95" s="2" t="s">
        <v>13</v>
      </c>
      <c r="H95" s="2" t="s">
        <v>211</v>
      </c>
      <c r="I95" s="5" t="str">
        <f>HYPERLINK("http://slimages.macys.com/is/image/MCY/15185038 ")</f>
        <v xml:space="preserve">http://slimages.macys.com/is/image/MCY/15185038 </v>
      </c>
    </row>
    <row r="96" spans="1:9" ht="53" x14ac:dyDescent="0.2">
      <c r="A96" s="2" t="s">
        <v>212</v>
      </c>
      <c r="B96" s="3">
        <v>1</v>
      </c>
      <c r="C96" s="4">
        <v>55</v>
      </c>
      <c r="D96" s="3" t="s">
        <v>213</v>
      </c>
      <c r="E96" s="2" t="s">
        <v>11</v>
      </c>
      <c r="F96" s="2" t="s">
        <v>54</v>
      </c>
      <c r="G96" s="2" t="s">
        <v>13</v>
      </c>
      <c r="H96" s="2" t="s">
        <v>35</v>
      </c>
      <c r="I96" s="5" t="str">
        <f>HYPERLINK("http://slimages.macys.com/is/image/MCY/14885293 ")</f>
        <v xml:space="preserve">http://slimages.macys.com/is/image/MCY/14885293 </v>
      </c>
    </row>
    <row r="97" spans="1:9" ht="66" x14ac:dyDescent="0.2">
      <c r="A97" s="2" t="s">
        <v>214</v>
      </c>
      <c r="B97" s="3">
        <v>4</v>
      </c>
      <c r="C97" s="4">
        <v>260</v>
      </c>
      <c r="D97" s="3">
        <v>8005348213021</v>
      </c>
      <c r="E97" s="2" t="s">
        <v>33</v>
      </c>
      <c r="F97" s="2" t="s">
        <v>215</v>
      </c>
      <c r="G97" s="2" t="s">
        <v>216</v>
      </c>
      <c r="H97" s="2" t="s">
        <v>199</v>
      </c>
      <c r="I97" s="5" t="str">
        <f>HYPERLINK("http://images.bloomingdales.com/is/image/BLM/10110724 ")</f>
        <v xml:space="preserve">http://images.bloomingdales.com/is/image/BLM/10110724 </v>
      </c>
    </row>
    <row r="98" spans="1:9" ht="66" x14ac:dyDescent="0.2">
      <c r="A98" s="2" t="s">
        <v>214</v>
      </c>
      <c r="B98" s="3">
        <v>2</v>
      </c>
      <c r="C98" s="4">
        <v>130</v>
      </c>
      <c r="D98" s="3">
        <v>8005348213021</v>
      </c>
      <c r="E98" s="2" t="s">
        <v>33</v>
      </c>
      <c r="F98" s="2" t="s">
        <v>215</v>
      </c>
      <c r="G98" s="2" t="s">
        <v>216</v>
      </c>
      <c r="H98" s="2" t="s">
        <v>199</v>
      </c>
      <c r="I98" s="5" t="str">
        <f>HYPERLINK("http://images.bloomingdales.com/is/image/BLM/10110724 ")</f>
        <v xml:space="preserve">http://images.bloomingdales.com/is/image/BLM/10110724 </v>
      </c>
    </row>
    <row r="99" spans="1:9" ht="53" x14ac:dyDescent="0.2">
      <c r="A99" s="2" t="s">
        <v>217</v>
      </c>
      <c r="B99" s="3">
        <v>1</v>
      </c>
      <c r="C99" s="4">
        <v>55</v>
      </c>
      <c r="D99" s="3">
        <v>1320745</v>
      </c>
      <c r="E99" s="2" t="s">
        <v>33</v>
      </c>
      <c r="F99" s="2" t="s">
        <v>218</v>
      </c>
      <c r="G99" s="2" t="s">
        <v>13</v>
      </c>
      <c r="H99" s="2" t="s">
        <v>219</v>
      </c>
      <c r="I99" s="5" t="str">
        <f>HYPERLINK("http://slimages.macys.com/is/image/MCY/14338216 ")</f>
        <v xml:space="preserve">http://slimages.macys.com/is/image/MCY/14338216 </v>
      </c>
    </row>
    <row r="100" spans="1:9" ht="53" x14ac:dyDescent="0.2">
      <c r="A100" s="2" t="s">
        <v>220</v>
      </c>
      <c r="B100" s="3">
        <v>1</v>
      </c>
      <c r="C100" s="4">
        <v>66.989999999999995</v>
      </c>
      <c r="D100" s="3" t="s">
        <v>221</v>
      </c>
      <c r="E100" s="2" t="s">
        <v>21</v>
      </c>
      <c r="F100" s="2" t="s">
        <v>222</v>
      </c>
      <c r="G100" s="2" t="s">
        <v>13</v>
      </c>
      <c r="H100" s="2" t="s">
        <v>155</v>
      </c>
      <c r="I100" s="5" t="str">
        <f>HYPERLINK("http://slimages.macys.com/is/image/MCY/15783959 ")</f>
        <v xml:space="preserve">http://slimages.macys.com/is/image/MCY/15783959 </v>
      </c>
    </row>
    <row r="101" spans="1:9" ht="53" x14ac:dyDescent="0.2">
      <c r="A101" s="2" t="s">
        <v>223</v>
      </c>
      <c r="B101" s="3">
        <v>1</v>
      </c>
      <c r="C101" s="4">
        <v>66.989999999999995</v>
      </c>
      <c r="D101" s="3" t="s">
        <v>224</v>
      </c>
      <c r="E101" s="2" t="s">
        <v>225</v>
      </c>
      <c r="F101" s="2" t="s">
        <v>222</v>
      </c>
      <c r="G101" s="2" t="s">
        <v>13</v>
      </c>
      <c r="H101" s="2" t="s">
        <v>155</v>
      </c>
      <c r="I101" s="5" t="str">
        <f>HYPERLINK("http://slimages.macys.com/is/image/MCY/11855666 ")</f>
        <v xml:space="preserve">http://slimages.macys.com/is/image/MCY/11855666 </v>
      </c>
    </row>
    <row r="102" spans="1:9" ht="53" x14ac:dyDescent="0.2">
      <c r="A102" s="2" t="s">
        <v>226</v>
      </c>
      <c r="B102" s="3">
        <v>1</v>
      </c>
      <c r="C102" s="4">
        <v>66.989999999999995</v>
      </c>
      <c r="D102" s="3" t="s">
        <v>227</v>
      </c>
      <c r="E102" s="2" t="s">
        <v>116</v>
      </c>
      <c r="F102" s="2" t="s">
        <v>222</v>
      </c>
      <c r="G102" s="2" t="s">
        <v>13</v>
      </c>
      <c r="H102" s="2" t="s">
        <v>155</v>
      </c>
      <c r="I102" s="5" t="str">
        <f>HYPERLINK("http://slimages.macys.com/is/image/MCY/15848807 ")</f>
        <v xml:space="preserve">http://slimages.macys.com/is/image/MCY/15848807 </v>
      </c>
    </row>
    <row r="103" spans="1:9" ht="53" x14ac:dyDescent="0.2">
      <c r="A103" s="2" t="s">
        <v>228</v>
      </c>
      <c r="B103" s="3">
        <v>1</v>
      </c>
      <c r="C103" s="4">
        <v>66.989999999999995</v>
      </c>
      <c r="D103" s="3" t="s">
        <v>229</v>
      </c>
      <c r="E103" s="2" t="s">
        <v>17</v>
      </c>
      <c r="F103" s="2" t="s">
        <v>222</v>
      </c>
      <c r="G103" s="2" t="s">
        <v>13</v>
      </c>
      <c r="H103" s="2" t="s">
        <v>155</v>
      </c>
      <c r="I103" s="5" t="str">
        <f>HYPERLINK("http://slimages.macys.com/is/image/MCY/15784038 ")</f>
        <v xml:space="preserve">http://slimages.macys.com/is/image/MCY/15784038 </v>
      </c>
    </row>
    <row r="104" spans="1:9" ht="53" x14ac:dyDescent="0.2">
      <c r="A104" s="2" t="s">
        <v>230</v>
      </c>
      <c r="B104" s="3">
        <v>1</v>
      </c>
      <c r="C104" s="4">
        <v>59.95</v>
      </c>
      <c r="D104" s="3" t="s">
        <v>231</v>
      </c>
      <c r="E104" s="2" t="s">
        <v>85</v>
      </c>
      <c r="F104" s="2" t="s">
        <v>232</v>
      </c>
      <c r="G104" s="2" t="s">
        <v>13</v>
      </c>
      <c r="H104" s="2" t="s">
        <v>98</v>
      </c>
      <c r="I104" s="5" t="str">
        <f>HYPERLINK("http://slimages.macys.com/is/image/MCY/16587350 ")</f>
        <v xml:space="preserve">http://slimages.macys.com/is/image/MCY/16587350 </v>
      </c>
    </row>
    <row r="105" spans="1:9" ht="53" x14ac:dyDescent="0.2">
      <c r="A105" s="2" t="s">
        <v>233</v>
      </c>
      <c r="B105" s="3">
        <v>1</v>
      </c>
      <c r="C105" s="4">
        <v>99.5</v>
      </c>
      <c r="D105" s="3">
        <v>100075437</v>
      </c>
      <c r="E105" s="2" t="s">
        <v>234</v>
      </c>
      <c r="F105" s="2" t="s">
        <v>210</v>
      </c>
      <c r="G105" s="2" t="s">
        <v>13</v>
      </c>
      <c r="H105" s="2" t="s">
        <v>35</v>
      </c>
      <c r="I105" s="5" t="str">
        <f>HYPERLINK("http://slimages.macys.com/is/image/MCY/15185835 ")</f>
        <v xml:space="preserve">http://slimages.macys.com/is/image/MCY/15185835 </v>
      </c>
    </row>
    <row r="106" spans="1:9" ht="53" x14ac:dyDescent="0.2">
      <c r="A106" s="2" t="s">
        <v>233</v>
      </c>
      <c r="B106" s="3">
        <v>3</v>
      </c>
      <c r="C106" s="4">
        <v>298.5</v>
      </c>
      <c r="D106" s="3">
        <v>100075437</v>
      </c>
      <c r="E106" s="2" t="s">
        <v>234</v>
      </c>
      <c r="F106" s="2" t="s">
        <v>210</v>
      </c>
      <c r="G106" s="2" t="s">
        <v>13</v>
      </c>
      <c r="H106" s="2" t="s">
        <v>35</v>
      </c>
      <c r="I106" s="5" t="str">
        <f>HYPERLINK("http://slimages.macys.com/is/image/MCY/15185835 ")</f>
        <v xml:space="preserve">http://slimages.macys.com/is/image/MCY/15185835 </v>
      </c>
    </row>
    <row r="107" spans="1:9" ht="53" x14ac:dyDescent="0.2">
      <c r="A107" s="2" t="s">
        <v>233</v>
      </c>
      <c r="B107" s="3">
        <v>1</v>
      </c>
      <c r="C107" s="4">
        <v>99.5</v>
      </c>
      <c r="D107" s="3">
        <v>100075437</v>
      </c>
      <c r="E107" s="2" t="s">
        <v>234</v>
      </c>
      <c r="F107" s="2" t="s">
        <v>210</v>
      </c>
      <c r="G107" s="2" t="s">
        <v>13</v>
      </c>
      <c r="H107" s="2" t="s">
        <v>35</v>
      </c>
      <c r="I107" s="5" t="str">
        <f>HYPERLINK("http://slimages.macys.com/is/image/MCY/15185835 ")</f>
        <v xml:space="preserve">http://slimages.macys.com/is/image/MCY/15185835 </v>
      </c>
    </row>
    <row r="108" spans="1:9" ht="53" x14ac:dyDescent="0.2">
      <c r="A108" s="2" t="s">
        <v>235</v>
      </c>
      <c r="B108" s="3">
        <v>1</v>
      </c>
      <c r="C108" s="4">
        <v>59.5</v>
      </c>
      <c r="D108" s="3" t="s">
        <v>236</v>
      </c>
      <c r="E108" s="2" t="s">
        <v>148</v>
      </c>
      <c r="F108" s="2" t="s">
        <v>237</v>
      </c>
      <c r="G108" s="2" t="s">
        <v>13</v>
      </c>
      <c r="H108" s="2" t="s">
        <v>238</v>
      </c>
      <c r="I108" s="5" t="str">
        <f>HYPERLINK("http://slimages.macys.com/is/image/MCY/11506127 ")</f>
        <v xml:space="preserve">http://slimages.macys.com/is/image/MCY/11506127 </v>
      </c>
    </row>
    <row r="109" spans="1:9" ht="53" x14ac:dyDescent="0.2">
      <c r="A109" s="2" t="s">
        <v>239</v>
      </c>
      <c r="B109" s="3">
        <v>1</v>
      </c>
      <c r="C109" s="4">
        <v>43.5</v>
      </c>
      <c r="D109" s="3">
        <v>5690164</v>
      </c>
      <c r="E109" s="2" t="s">
        <v>167</v>
      </c>
      <c r="F109" s="2" t="s">
        <v>97</v>
      </c>
      <c r="G109" s="2" t="s">
        <v>13</v>
      </c>
      <c r="H109" s="2" t="s">
        <v>145</v>
      </c>
      <c r="I109" s="5" t="str">
        <f>HYPERLINK("http://slimages.macys.com/is/image/MCY/1794353 ")</f>
        <v xml:space="preserve">http://slimages.macys.com/is/image/MCY/1794353 </v>
      </c>
    </row>
    <row r="110" spans="1:9" ht="53" x14ac:dyDescent="0.2">
      <c r="A110" s="2" t="s">
        <v>240</v>
      </c>
      <c r="B110" s="3">
        <v>1</v>
      </c>
      <c r="C110" s="4">
        <v>64.989999999999995</v>
      </c>
      <c r="D110" s="3" t="s">
        <v>241</v>
      </c>
      <c r="E110" s="2" t="s">
        <v>116</v>
      </c>
      <c r="F110" s="2" t="s">
        <v>222</v>
      </c>
      <c r="G110" s="2" t="s">
        <v>13</v>
      </c>
      <c r="H110" s="2" t="s">
        <v>98</v>
      </c>
      <c r="I110" s="5" t="str">
        <f>HYPERLINK("http://slimages.macys.com/is/image/MCY/8823845 ")</f>
        <v xml:space="preserve">http://slimages.macys.com/is/image/MCY/8823845 </v>
      </c>
    </row>
    <row r="111" spans="1:9" ht="53" x14ac:dyDescent="0.2">
      <c r="A111" s="2" t="s">
        <v>242</v>
      </c>
      <c r="B111" s="3">
        <v>1</v>
      </c>
      <c r="C111" s="4">
        <v>60.5</v>
      </c>
      <c r="D111" s="3">
        <v>2900985</v>
      </c>
      <c r="E111" s="2" t="s">
        <v>243</v>
      </c>
      <c r="F111" s="2" t="s">
        <v>244</v>
      </c>
      <c r="G111" s="2" t="s">
        <v>13</v>
      </c>
      <c r="H111" s="2" t="s">
        <v>155</v>
      </c>
      <c r="I111" s="5" t="str">
        <f>HYPERLINK("http://slimages.macys.com/is/image/MCY/13586158 ")</f>
        <v xml:space="preserve">http://slimages.macys.com/is/image/MCY/13586158 </v>
      </c>
    </row>
    <row r="112" spans="1:9" ht="53" x14ac:dyDescent="0.2">
      <c r="A112" s="2" t="s">
        <v>245</v>
      </c>
      <c r="B112" s="3">
        <v>1</v>
      </c>
      <c r="C112" s="4">
        <v>64.989999999999995</v>
      </c>
      <c r="D112" s="3" t="s">
        <v>246</v>
      </c>
      <c r="E112" s="2" t="s">
        <v>72</v>
      </c>
      <c r="F112" s="2" t="s">
        <v>247</v>
      </c>
      <c r="G112" s="2" t="s">
        <v>13</v>
      </c>
      <c r="H112" s="2" t="s">
        <v>155</v>
      </c>
      <c r="I112" s="5" t="str">
        <f>HYPERLINK("http://slimages.macys.com/is/image/MCY/16021599 ")</f>
        <v xml:space="preserve">http://slimages.macys.com/is/image/MCY/16021599 </v>
      </c>
    </row>
    <row r="113" spans="1:9" ht="53" x14ac:dyDescent="0.2">
      <c r="A113" s="2" t="s">
        <v>248</v>
      </c>
      <c r="B113" s="3">
        <v>1</v>
      </c>
      <c r="C113" s="4">
        <v>64.989999999999995</v>
      </c>
      <c r="D113" s="3" t="s">
        <v>249</v>
      </c>
      <c r="E113" s="2" t="s">
        <v>148</v>
      </c>
      <c r="F113" s="2" t="s">
        <v>222</v>
      </c>
      <c r="G113" s="2" t="s">
        <v>13</v>
      </c>
      <c r="H113" s="2" t="s">
        <v>112</v>
      </c>
      <c r="I113" s="5" t="str">
        <f>HYPERLINK("http://slimages.macys.com/is/image/MCY/10523952 ")</f>
        <v xml:space="preserve">http://slimages.macys.com/is/image/MCY/10523952 </v>
      </c>
    </row>
    <row r="114" spans="1:9" ht="53" x14ac:dyDescent="0.2">
      <c r="A114" s="2" t="s">
        <v>250</v>
      </c>
      <c r="B114" s="3">
        <v>1</v>
      </c>
      <c r="C114" s="4">
        <v>64.989999999999995</v>
      </c>
      <c r="D114" s="3" t="s">
        <v>251</v>
      </c>
      <c r="E114" s="2" t="s">
        <v>116</v>
      </c>
      <c r="F114" s="2" t="s">
        <v>247</v>
      </c>
      <c r="G114" s="2" t="s">
        <v>13</v>
      </c>
      <c r="H114" s="2" t="s">
        <v>252</v>
      </c>
      <c r="I114" s="5" t="str">
        <f>HYPERLINK("http://slimages.macys.com/is/image/MCY/14441789 ")</f>
        <v xml:space="preserve">http://slimages.macys.com/is/image/MCY/14441789 </v>
      </c>
    </row>
    <row r="115" spans="1:9" ht="53" x14ac:dyDescent="0.2">
      <c r="A115" s="2" t="s">
        <v>250</v>
      </c>
      <c r="B115" s="3">
        <v>1</v>
      </c>
      <c r="C115" s="4">
        <v>64.989999999999995</v>
      </c>
      <c r="D115" s="3" t="s">
        <v>253</v>
      </c>
      <c r="E115" s="2" t="s">
        <v>254</v>
      </c>
      <c r="F115" s="2" t="s">
        <v>247</v>
      </c>
      <c r="G115" s="2" t="s">
        <v>13</v>
      </c>
      <c r="H115" s="2" t="s">
        <v>145</v>
      </c>
      <c r="I115" s="5" t="str">
        <f>HYPERLINK("http://slimages.macys.com/is/image/MCY/15786069 ")</f>
        <v xml:space="preserve">http://slimages.macys.com/is/image/MCY/15786069 </v>
      </c>
    </row>
    <row r="116" spans="1:9" ht="53" x14ac:dyDescent="0.2">
      <c r="A116" s="2" t="s">
        <v>250</v>
      </c>
      <c r="B116" s="3">
        <v>1</v>
      </c>
      <c r="C116" s="4">
        <v>64.989999999999995</v>
      </c>
      <c r="D116" s="3" t="s">
        <v>253</v>
      </c>
      <c r="E116" s="2" t="s">
        <v>254</v>
      </c>
      <c r="F116" s="2" t="s">
        <v>247</v>
      </c>
      <c r="G116" s="2" t="s">
        <v>13</v>
      </c>
      <c r="H116" s="2" t="s">
        <v>145</v>
      </c>
      <c r="I116" s="5" t="str">
        <f>HYPERLINK("http://slimages.macys.com/is/image/MCY/15786069 ")</f>
        <v xml:space="preserve">http://slimages.macys.com/is/image/MCY/15786069 </v>
      </c>
    </row>
    <row r="117" spans="1:9" ht="53" x14ac:dyDescent="0.2">
      <c r="A117" s="2" t="s">
        <v>250</v>
      </c>
      <c r="B117" s="3">
        <v>1</v>
      </c>
      <c r="C117" s="4">
        <v>64.989999999999995</v>
      </c>
      <c r="D117" s="3" t="s">
        <v>251</v>
      </c>
      <c r="E117" s="2" t="s">
        <v>77</v>
      </c>
      <c r="F117" s="2" t="s">
        <v>247</v>
      </c>
      <c r="G117" s="2" t="s">
        <v>13</v>
      </c>
      <c r="H117" s="2" t="s">
        <v>252</v>
      </c>
      <c r="I117" s="5" t="str">
        <f>HYPERLINK("http://slimages.macys.com/is/image/MCY/15146804 ")</f>
        <v xml:space="preserve">http://slimages.macys.com/is/image/MCY/15146804 </v>
      </c>
    </row>
    <row r="118" spans="1:9" ht="53" x14ac:dyDescent="0.2">
      <c r="A118" s="2" t="s">
        <v>255</v>
      </c>
      <c r="B118" s="3">
        <v>1</v>
      </c>
      <c r="C118" s="4">
        <v>64.989999999999995</v>
      </c>
      <c r="D118" s="3" t="s">
        <v>256</v>
      </c>
      <c r="E118" s="2" t="s">
        <v>17</v>
      </c>
      <c r="F118" s="2" t="s">
        <v>247</v>
      </c>
      <c r="G118" s="2" t="s">
        <v>13</v>
      </c>
      <c r="H118" s="2" t="s">
        <v>257</v>
      </c>
      <c r="I118" s="5" t="str">
        <f>HYPERLINK("http://slimages.macys.com/is/image/MCY/14441815 ")</f>
        <v xml:space="preserve">http://slimages.macys.com/is/image/MCY/14441815 </v>
      </c>
    </row>
    <row r="119" spans="1:9" ht="53" x14ac:dyDescent="0.2">
      <c r="A119" s="2" t="s">
        <v>250</v>
      </c>
      <c r="B119" s="3">
        <v>1</v>
      </c>
      <c r="C119" s="4">
        <v>64.989999999999995</v>
      </c>
      <c r="D119" s="3" t="s">
        <v>251</v>
      </c>
      <c r="E119" s="2" t="s">
        <v>161</v>
      </c>
      <c r="F119" s="2" t="s">
        <v>247</v>
      </c>
      <c r="G119" s="2" t="s">
        <v>13</v>
      </c>
      <c r="H119" s="2" t="s">
        <v>145</v>
      </c>
      <c r="I119" s="5" t="str">
        <f>HYPERLINK("http://slimages.macys.com/is/image/MCY/15869955 ")</f>
        <v xml:space="preserve">http://slimages.macys.com/is/image/MCY/15869955 </v>
      </c>
    </row>
    <row r="120" spans="1:9" ht="53" x14ac:dyDescent="0.2">
      <c r="A120" s="2" t="s">
        <v>250</v>
      </c>
      <c r="B120" s="3">
        <v>1</v>
      </c>
      <c r="C120" s="4">
        <v>64.989999999999995</v>
      </c>
      <c r="D120" s="3" t="s">
        <v>251</v>
      </c>
      <c r="E120" s="2" t="s">
        <v>161</v>
      </c>
      <c r="F120" s="2" t="s">
        <v>247</v>
      </c>
      <c r="G120" s="2" t="s">
        <v>13</v>
      </c>
      <c r="H120" s="2" t="s">
        <v>145</v>
      </c>
      <c r="I120" s="5" t="str">
        <f>HYPERLINK("http://slimages.macys.com/is/image/MCY/15869955 ")</f>
        <v xml:space="preserve">http://slimages.macys.com/is/image/MCY/15869955 </v>
      </c>
    </row>
    <row r="121" spans="1:9" ht="53" x14ac:dyDescent="0.2">
      <c r="A121" s="2" t="s">
        <v>255</v>
      </c>
      <c r="B121" s="3">
        <v>1</v>
      </c>
      <c r="C121" s="4">
        <v>64.989999999999995</v>
      </c>
      <c r="D121" s="3" t="s">
        <v>256</v>
      </c>
      <c r="E121" s="2" t="s">
        <v>17</v>
      </c>
      <c r="F121" s="2" t="s">
        <v>247</v>
      </c>
      <c r="G121" s="2" t="s">
        <v>13</v>
      </c>
      <c r="H121" s="2" t="s">
        <v>257</v>
      </c>
      <c r="I121" s="5" t="str">
        <f>HYPERLINK("http://slimages.macys.com/is/image/MCY/14441815 ")</f>
        <v xml:space="preserve">http://slimages.macys.com/is/image/MCY/14441815 </v>
      </c>
    </row>
    <row r="122" spans="1:9" ht="53" x14ac:dyDescent="0.2">
      <c r="A122" s="2" t="s">
        <v>193</v>
      </c>
      <c r="B122" s="3">
        <v>1</v>
      </c>
      <c r="C122" s="4">
        <v>64.989999999999995</v>
      </c>
      <c r="D122" s="3" t="s">
        <v>258</v>
      </c>
      <c r="E122" s="2" t="s">
        <v>106</v>
      </c>
      <c r="F122" s="2" t="s">
        <v>247</v>
      </c>
      <c r="G122" s="2" t="s">
        <v>13</v>
      </c>
      <c r="H122" s="2" t="s">
        <v>112</v>
      </c>
      <c r="I122" s="5" t="str">
        <f>HYPERLINK("http://slimages.macys.com/is/image/MCY/15189333 ")</f>
        <v xml:space="preserve">http://slimages.macys.com/is/image/MCY/15189333 </v>
      </c>
    </row>
    <row r="123" spans="1:9" ht="53" x14ac:dyDescent="0.2">
      <c r="A123" s="2" t="s">
        <v>193</v>
      </c>
      <c r="B123" s="3">
        <v>1</v>
      </c>
      <c r="C123" s="4">
        <v>64.989999999999995</v>
      </c>
      <c r="D123" s="3" t="s">
        <v>258</v>
      </c>
      <c r="E123" s="2" t="s">
        <v>106</v>
      </c>
      <c r="F123" s="2" t="s">
        <v>247</v>
      </c>
      <c r="G123" s="2" t="s">
        <v>13</v>
      </c>
      <c r="H123" s="2" t="s">
        <v>112</v>
      </c>
      <c r="I123" s="5" t="str">
        <f>HYPERLINK("http://slimages.macys.com/is/image/MCY/15189333 ")</f>
        <v xml:space="preserve">http://slimages.macys.com/is/image/MCY/15189333 </v>
      </c>
    </row>
    <row r="124" spans="1:9" ht="53" x14ac:dyDescent="0.2">
      <c r="A124" s="2" t="s">
        <v>250</v>
      </c>
      <c r="B124" s="3">
        <v>1</v>
      </c>
      <c r="C124" s="4">
        <v>64.989999999999995</v>
      </c>
      <c r="D124" s="3" t="s">
        <v>251</v>
      </c>
      <c r="E124" s="2" t="s">
        <v>116</v>
      </c>
      <c r="F124" s="2" t="s">
        <v>247</v>
      </c>
      <c r="G124" s="2" t="s">
        <v>13</v>
      </c>
      <c r="H124" s="2" t="s">
        <v>252</v>
      </c>
      <c r="I124" s="5" t="str">
        <f>HYPERLINK("http://slimages.macys.com/is/image/MCY/14441789 ")</f>
        <v xml:space="preserve">http://slimages.macys.com/is/image/MCY/14441789 </v>
      </c>
    </row>
    <row r="125" spans="1:9" ht="53" x14ac:dyDescent="0.2">
      <c r="A125" s="2" t="s">
        <v>245</v>
      </c>
      <c r="B125" s="3">
        <v>1</v>
      </c>
      <c r="C125" s="4">
        <v>64.989999999999995</v>
      </c>
      <c r="D125" s="3" t="s">
        <v>259</v>
      </c>
      <c r="E125" s="2" t="s">
        <v>17</v>
      </c>
      <c r="F125" s="2" t="s">
        <v>247</v>
      </c>
      <c r="G125" s="2" t="s">
        <v>13</v>
      </c>
      <c r="H125" s="2" t="s">
        <v>257</v>
      </c>
      <c r="I125" s="5" t="str">
        <f>HYPERLINK("http://slimages.macys.com/is/image/MCY/14441827 ")</f>
        <v xml:space="preserve">http://slimages.macys.com/is/image/MCY/14441827 </v>
      </c>
    </row>
    <row r="126" spans="1:9" ht="53" x14ac:dyDescent="0.2">
      <c r="A126" s="2" t="s">
        <v>193</v>
      </c>
      <c r="B126" s="3">
        <v>1</v>
      </c>
      <c r="C126" s="4">
        <v>64.989999999999995</v>
      </c>
      <c r="D126" s="3" t="s">
        <v>258</v>
      </c>
      <c r="E126" s="2" t="s">
        <v>106</v>
      </c>
      <c r="F126" s="2" t="s">
        <v>247</v>
      </c>
      <c r="G126" s="2" t="s">
        <v>13</v>
      </c>
      <c r="H126" s="2" t="s">
        <v>112</v>
      </c>
      <c r="I126" s="5" t="str">
        <f>HYPERLINK("http://slimages.macys.com/is/image/MCY/15189333 ")</f>
        <v xml:space="preserve">http://slimages.macys.com/is/image/MCY/15189333 </v>
      </c>
    </row>
    <row r="127" spans="1:9" ht="53" x14ac:dyDescent="0.2">
      <c r="A127" s="2" t="s">
        <v>260</v>
      </c>
      <c r="B127" s="3">
        <v>1</v>
      </c>
      <c r="C127" s="4">
        <v>64.989999999999995</v>
      </c>
      <c r="D127" s="3" t="s">
        <v>261</v>
      </c>
      <c r="E127" s="2" t="s">
        <v>262</v>
      </c>
      <c r="F127" s="2" t="s">
        <v>191</v>
      </c>
      <c r="G127" s="2" t="s">
        <v>13</v>
      </c>
      <c r="H127" s="2" t="s">
        <v>118</v>
      </c>
      <c r="I127" s="5" t="str">
        <f>HYPERLINK("http://slimages.macys.com/is/image/MCY/1695421 ")</f>
        <v xml:space="preserve">http://slimages.macys.com/is/image/MCY/1695421 </v>
      </c>
    </row>
    <row r="128" spans="1:9" ht="53" x14ac:dyDescent="0.2">
      <c r="A128" s="2" t="s">
        <v>263</v>
      </c>
      <c r="B128" s="3">
        <v>1</v>
      </c>
      <c r="C128" s="4">
        <v>64.989999999999995</v>
      </c>
      <c r="D128" s="3" t="s">
        <v>264</v>
      </c>
      <c r="E128" s="2" t="s">
        <v>77</v>
      </c>
      <c r="F128" s="2" t="s">
        <v>247</v>
      </c>
      <c r="G128" s="2" t="s">
        <v>13</v>
      </c>
      <c r="H128" s="2" t="s">
        <v>155</v>
      </c>
      <c r="I128" s="5" t="str">
        <f>HYPERLINK("http://slimages.macys.com/is/image/MCY/15785727 ")</f>
        <v xml:space="preserve">http://slimages.macys.com/is/image/MCY/15785727 </v>
      </c>
    </row>
    <row r="129" spans="1:9" ht="53" x14ac:dyDescent="0.2">
      <c r="A129" s="2" t="s">
        <v>193</v>
      </c>
      <c r="B129" s="3">
        <v>2</v>
      </c>
      <c r="C129" s="4">
        <v>129.97999999999999</v>
      </c>
      <c r="D129" s="3" t="s">
        <v>258</v>
      </c>
      <c r="E129" s="2" t="s">
        <v>106</v>
      </c>
      <c r="F129" s="2" t="s">
        <v>247</v>
      </c>
      <c r="G129" s="2" t="s">
        <v>13</v>
      </c>
      <c r="H129" s="2" t="s">
        <v>112</v>
      </c>
      <c r="I129" s="5" t="str">
        <f>HYPERLINK("http://slimages.macys.com/is/image/MCY/15189333 ")</f>
        <v xml:space="preserve">http://slimages.macys.com/is/image/MCY/15189333 </v>
      </c>
    </row>
    <row r="130" spans="1:9" ht="66" x14ac:dyDescent="0.2">
      <c r="A130" s="2" t="s">
        <v>265</v>
      </c>
      <c r="B130" s="3">
        <v>1</v>
      </c>
      <c r="C130" s="4">
        <v>68</v>
      </c>
      <c r="D130" s="3" t="s">
        <v>266</v>
      </c>
      <c r="E130" s="2" t="s">
        <v>167</v>
      </c>
      <c r="F130" s="2" t="s">
        <v>267</v>
      </c>
      <c r="G130" s="2" t="s">
        <v>13</v>
      </c>
      <c r="H130" s="2" t="s">
        <v>268</v>
      </c>
      <c r="I130" s="5" t="str">
        <f>HYPERLINK("http://slimages.macys.com/is/image/MCY/8193106 ")</f>
        <v xml:space="preserve">http://slimages.macys.com/is/image/MCY/8193106 </v>
      </c>
    </row>
    <row r="131" spans="1:9" ht="53" x14ac:dyDescent="0.2">
      <c r="A131" s="2" t="s">
        <v>269</v>
      </c>
      <c r="B131" s="3">
        <v>1</v>
      </c>
      <c r="C131" s="4">
        <v>79.5</v>
      </c>
      <c r="D131" s="3" t="s">
        <v>270</v>
      </c>
      <c r="E131" s="2" t="s">
        <v>33</v>
      </c>
      <c r="F131" s="2" t="s">
        <v>210</v>
      </c>
      <c r="G131" s="2" t="s">
        <v>13</v>
      </c>
      <c r="H131" s="2" t="s">
        <v>271</v>
      </c>
      <c r="I131" s="5" t="str">
        <f>HYPERLINK("http://slimages.macys.com/is/image/MCY/3882483 ")</f>
        <v xml:space="preserve">http://slimages.macys.com/is/image/MCY/3882483 </v>
      </c>
    </row>
    <row r="132" spans="1:9" ht="53" x14ac:dyDescent="0.2">
      <c r="A132" s="2" t="s">
        <v>272</v>
      </c>
      <c r="B132" s="3">
        <v>1</v>
      </c>
      <c r="C132" s="4">
        <v>69.5</v>
      </c>
      <c r="D132" s="3" t="s">
        <v>273</v>
      </c>
      <c r="E132" s="2" t="s">
        <v>167</v>
      </c>
      <c r="F132" s="2" t="s">
        <v>274</v>
      </c>
      <c r="G132" s="2" t="s">
        <v>13</v>
      </c>
      <c r="H132" s="2" t="s">
        <v>98</v>
      </c>
      <c r="I132" s="5" t="str">
        <f>HYPERLINK("http://slimages.macys.com/is/image/MCY/16454536 ")</f>
        <v xml:space="preserve">http://slimages.macys.com/is/image/MCY/16454536 </v>
      </c>
    </row>
    <row r="133" spans="1:9" ht="66" x14ac:dyDescent="0.2">
      <c r="A133" s="2" t="s">
        <v>275</v>
      </c>
      <c r="B133" s="3">
        <v>1</v>
      </c>
      <c r="C133" s="4">
        <v>89</v>
      </c>
      <c r="D133" s="3">
        <v>12151673</v>
      </c>
      <c r="E133" s="2" t="s">
        <v>148</v>
      </c>
      <c r="F133" s="2" t="s">
        <v>276</v>
      </c>
      <c r="G133" s="2" t="s">
        <v>13</v>
      </c>
      <c r="H133" s="2" t="s">
        <v>277</v>
      </c>
      <c r="I133" s="5" t="str">
        <f>HYPERLINK("http://slimages.macys.com/is/image/MCY/11094162 ")</f>
        <v xml:space="preserve">http://slimages.macys.com/is/image/MCY/11094162 </v>
      </c>
    </row>
    <row r="134" spans="1:9" ht="79" x14ac:dyDescent="0.2">
      <c r="A134" s="2" t="s">
        <v>278</v>
      </c>
      <c r="B134" s="3">
        <v>1</v>
      </c>
      <c r="C134" s="4">
        <v>20</v>
      </c>
      <c r="D134" s="3" t="s">
        <v>279</v>
      </c>
      <c r="E134" s="2" t="s">
        <v>17</v>
      </c>
      <c r="F134" s="2" t="s">
        <v>58</v>
      </c>
      <c r="G134" s="2" t="s">
        <v>13</v>
      </c>
      <c r="H134" s="2" t="s">
        <v>280</v>
      </c>
      <c r="I134" s="5" t="str">
        <f t="shared" ref="I134:I140" si="0">HYPERLINK("http://slimages.macys.com/is/image/MCY/8442062 ")</f>
        <v xml:space="preserve">http://slimages.macys.com/is/image/MCY/8442062 </v>
      </c>
    </row>
    <row r="135" spans="1:9" ht="79" x14ac:dyDescent="0.2">
      <c r="A135" s="2" t="s">
        <v>281</v>
      </c>
      <c r="B135" s="3">
        <v>1</v>
      </c>
      <c r="C135" s="4">
        <v>20</v>
      </c>
      <c r="D135" s="3" t="s">
        <v>282</v>
      </c>
      <c r="E135" s="2" t="s">
        <v>17</v>
      </c>
      <c r="F135" s="2" t="s">
        <v>58</v>
      </c>
      <c r="G135" s="2" t="s">
        <v>13</v>
      </c>
      <c r="H135" s="2" t="s">
        <v>280</v>
      </c>
      <c r="I135" s="5" t="str">
        <f t="shared" si="0"/>
        <v xml:space="preserve">http://slimages.macys.com/is/image/MCY/8442062 </v>
      </c>
    </row>
    <row r="136" spans="1:9" ht="79" x14ac:dyDescent="0.2">
      <c r="A136" s="2" t="s">
        <v>283</v>
      </c>
      <c r="B136" s="3">
        <v>1</v>
      </c>
      <c r="C136" s="4">
        <v>20</v>
      </c>
      <c r="D136" s="3" t="s">
        <v>284</v>
      </c>
      <c r="E136" s="2" t="s">
        <v>33</v>
      </c>
      <c r="F136" s="2" t="s">
        <v>58</v>
      </c>
      <c r="G136" s="2" t="s">
        <v>13</v>
      </c>
      <c r="H136" s="2" t="s">
        <v>280</v>
      </c>
      <c r="I136" s="5" t="str">
        <f t="shared" si="0"/>
        <v xml:space="preserve">http://slimages.macys.com/is/image/MCY/8442062 </v>
      </c>
    </row>
    <row r="137" spans="1:9" ht="79" x14ac:dyDescent="0.2">
      <c r="A137" s="2" t="s">
        <v>285</v>
      </c>
      <c r="B137" s="3">
        <v>1</v>
      </c>
      <c r="C137" s="4">
        <v>20</v>
      </c>
      <c r="D137" s="3" t="s">
        <v>286</v>
      </c>
      <c r="E137" s="2" t="s">
        <v>11</v>
      </c>
      <c r="F137" s="2" t="s">
        <v>58</v>
      </c>
      <c r="G137" s="2" t="s">
        <v>13</v>
      </c>
      <c r="H137" s="2" t="s">
        <v>280</v>
      </c>
      <c r="I137" s="5" t="str">
        <f t="shared" si="0"/>
        <v xml:space="preserve">http://slimages.macys.com/is/image/MCY/8442062 </v>
      </c>
    </row>
    <row r="138" spans="1:9" ht="79" x14ac:dyDescent="0.2">
      <c r="A138" s="2" t="s">
        <v>285</v>
      </c>
      <c r="B138" s="3">
        <v>1</v>
      </c>
      <c r="C138" s="4">
        <v>20</v>
      </c>
      <c r="D138" s="3" t="s">
        <v>286</v>
      </c>
      <c r="E138" s="2" t="s">
        <v>11</v>
      </c>
      <c r="F138" s="2" t="s">
        <v>58</v>
      </c>
      <c r="G138" s="2" t="s">
        <v>13</v>
      </c>
      <c r="H138" s="2" t="s">
        <v>280</v>
      </c>
      <c r="I138" s="5" t="str">
        <f t="shared" si="0"/>
        <v xml:space="preserve">http://slimages.macys.com/is/image/MCY/8442062 </v>
      </c>
    </row>
    <row r="139" spans="1:9" ht="79" x14ac:dyDescent="0.2">
      <c r="A139" s="2" t="s">
        <v>281</v>
      </c>
      <c r="B139" s="3">
        <v>1</v>
      </c>
      <c r="C139" s="4">
        <v>20</v>
      </c>
      <c r="D139" s="3" t="s">
        <v>282</v>
      </c>
      <c r="E139" s="2" t="s">
        <v>17</v>
      </c>
      <c r="F139" s="2" t="s">
        <v>58</v>
      </c>
      <c r="G139" s="2" t="s">
        <v>13</v>
      </c>
      <c r="H139" s="2" t="s">
        <v>280</v>
      </c>
      <c r="I139" s="5" t="str">
        <f t="shared" si="0"/>
        <v xml:space="preserve">http://slimages.macys.com/is/image/MCY/8442062 </v>
      </c>
    </row>
    <row r="140" spans="1:9" ht="79" x14ac:dyDescent="0.2">
      <c r="A140" s="2" t="s">
        <v>281</v>
      </c>
      <c r="B140" s="3">
        <v>1</v>
      </c>
      <c r="C140" s="4">
        <v>20</v>
      </c>
      <c r="D140" s="3" t="s">
        <v>282</v>
      </c>
      <c r="E140" s="2" t="s">
        <v>17</v>
      </c>
      <c r="F140" s="2" t="s">
        <v>58</v>
      </c>
      <c r="G140" s="2" t="s">
        <v>13</v>
      </c>
      <c r="H140" s="2" t="s">
        <v>280</v>
      </c>
      <c r="I140" s="5" t="str">
        <f t="shared" si="0"/>
        <v xml:space="preserve">http://slimages.macys.com/is/image/MCY/8442062 </v>
      </c>
    </row>
    <row r="141" spans="1:9" ht="53" x14ac:dyDescent="0.2">
      <c r="A141" s="2" t="s">
        <v>287</v>
      </c>
      <c r="B141" s="3">
        <v>1</v>
      </c>
      <c r="C141" s="4">
        <v>59</v>
      </c>
      <c r="D141" s="3" t="s">
        <v>288</v>
      </c>
      <c r="E141" s="2" t="s">
        <v>46</v>
      </c>
      <c r="F141" s="2" t="s">
        <v>168</v>
      </c>
      <c r="G141" s="2" t="s">
        <v>13</v>
      </c>
      <c r="H141" s="2" t="s">
        <v>155</v>
      </c>
      <c r="I141" s="5" t="str">
        <f>HYPERLINK("http://slimages.macys.com/is/image/MCY/16424908 ")</f>
        <v xml:space="preserve">http://slimages.macys.com/is/image/MCY/16424908 </v>
      </c>
    </row>
    <row r="142" spans="1:9" ht="53" x14ac:dyDescent="0.2">
      <c r="A142" s="2" t="s">
        <v>289</v>
      </c>
      <c r="B142" s="3">
        <v>1</v>
      </c>
      <c r="C142" s="4">
        <v>55</v>
      </c>
      <c r="D142" s="3" t="s">
        <v>290</v>
      </c>
      <c r="E142" s="2"/>
      <c r="F142" s="2" t="s">
        <v>291</v>
      </c>
      <c r="G142" s="2" t="s">
        <v>13</v>
      </c>
      <c r="H142" s="2" t="s">
        <v>35</v>
      </c>
      <c r="I142" s="5" t="str">
        <f>HYPERLINK("http://slimages.macys.com/is/image/MCY/9756763 ")</f>
        <v xml:space="preserve">http://slimages.macys.com/is/image/MCY/9756763 </v>
      </c>
    </row>
    <row r="143" spans="1:9" ht="53" x14ac:dyDescent="0.2">
      <c r="A143" s="2" t="s">
        <v>289</v>
      </c>
      <c r="B143" s="3">
        <v>1</v>
      </c>
      <c r="C143" s="4">
        <v>55</v>
      </c>
      <c r="D143" s="3" t="s">
        <v>290</v>
      </c>
      <c r="E143" s="2"/>
      <c r="F143" s="2" t="s">
        <v>291</v>
      </c>
      <c r="G143" s="2" t="s">
        <v>13</v>
      </c>
      <c r="H143" s="2" t="s">
        <v>35</v>
      </c>
      <c r="I143" s="5" t="str">
        <f>HYPERLINK("http://slimages.macys.com/is/image/MCY/9756763 ")</f>
        <v xml:space="preserve">http://slimages.macys.com/is/image/MCY/9756763 </v>
      </c>
    </row>
    <row r="144" spans="1:9" ht="66" x14ac:dyDescent="0.2">
      <c r="A144" s="2" t="s">
        <v>292</v>
      </c>
      <c r="B144" s="3">
        <v>1</v>
      </c>
      <c r="C144" s="4">
        <v>65</v>
      </c>
      <c r="D144" s="3" t="s">
        <v>293</v>
      </c>
      <c r="E144" s="2" t="s">
        <v>294</v>
      </c>
      <c r="F144" s="2" t="s">
        <v>295</v>
      </c>
      <c r="G144" s="2" t="s">
        <v>13</v>
      </c>
      <c r="H144" s="2" t="s">
        <v>296</v>
      </c>
      <c r="I144" s="5" t="str">
        <f>HYPERLINK("http://slimages.macys.com/is/image/MCY/11950641 ")</f>
        <v xml:space="preserve">http://slimages.macys.com/is/image/MCY/11950641 </v>
      </c>
    </row>
    <row r="145" spans="1:9" ht="53" x14ac:dyDescent="0.2">
      <c r="A145" s="2" t="s">
        <v>297</v>
      </c>
      <c r="B145" s="3">
        <v>1</v>
      </c>
      <c r="C145" s="4">
        <v>57.99</v>
      </c>
      <c r="D145" s="3" t="s">
        <v>298</v>
      </c>
      <c r="E145" s="2" t="s">
        <v>167</v>
      </c>
      <c r="F145" s="2" t="s">
        <v>247</v>
      </c>
      <c r="G145" s="2" t="s">
        <v>13</v>
      </c>
      <c r="H145" s="2" t="s">
        <v>155</v>
      </c>
      <c r="I145" s="5" t="str">
        <f>HYPERLINK("http://slimages.macys.com/is/image/MCY/8878168 ")</f>
        <v xml:space="preserve">http://slimages.macys.com/is/image/MCY/8878168 </v>
      </c>
    </row>
    <row r="146" spans="1:9" ht="53" x14ac:dyDescent="0.2">
      <c r="A146" s="2" t="s">
        <v>299</v>
      </c>
      <c r="B146" s="3">
        <v>1</v>
      </c>
      <c r="C146" s="4">
        <v>59</v>
      </c>
      <c r="D146" s="3" t="s">
        <v>300</v>
      </c>
      <c r="E146" s="2" t="s">
        <v>17</v>
      </c>
      <c r="F146" s="2" t="s">
        <v>301</v>
      </c>
      <c r="G146" s="2" t="s">
        <v>13</v>
      </c>
      <c r="H146" s="2" t="s">
        <v>302</v>
      </c>
      <c r="I146" s="5" t="str">
        <f>HYPERLINK("http://slimages.macys.com/is/image/MCY/13685055 ")</f>
        <v xml:space="preserve">http://slimages.macys.com/is/image/MCY/13685055 </v>
      </c>
    </row>
    <row r="147" spans="1:9" ht="53" x14ac:dyDescent="0.2">
      <c r="A147" s="2" t="s">
        <v>303</v>
      </c>
      <c r="B147" s="3">
        <v>1</v>
      </c>
      <c r="C147" s="4">
        <v>69.5</v>
      </c>
      <c r="D147" s="3" t="s">
        <v>304</v>
      </c>
      <c r="E147" s="2" t="s">
        <v>243</v>
      </c>
      <c r="F147" s="2" t="s">
        <v>274</v>
      </c>
      <c r="G147" s="2" t="s">
        <v>13</v>
      </c>
      <c r="H147" s="2" t="s">
        <v>155</v>
      </c>
      <c r="I147" s="5" t="str">
        <f>HYPERLINK("http://slimages.macys.com/is/image/MCY/15717394 ")</f>
        <v xml:space="preserve">http://slimages.macys.com/is/image/MCY/15717394 </v>
      </c>
    </row>
    <row r="148" spans="1:9" ht="53" x14ac:dyDescent="0.2">
      <c r="A148" s="2" t="s">
        <v>305</v>
      </c>
      <c r="B148" s="3">
        <v>1</v>
      </c>
      <c r="C148" s="4">
        <v>69.5</v>
      </c>
      <c r="D148" s="3" t="s">
        <v>306</v>
      </c>
      <c r="E148" s="2" t="s">
        <v>307</v>
      </c>
      <c r="F148" s="2" t="s">
        <v>274</v>
      </c>
      <c r="G148" s="2" t="s">
        <v>13</v>
      </c>
      <c r="H148" s="2" t="s">
        <v>118</v>
      </c>
      <c r="I148" s="5" t="str">
        <f>HYPERLINK("http://slimages.macys.com/is/image/MCY/15148172 ")</f>
        <v xml:space="preserve">http://slimages.macys.com/is/image/MCY/15148172 </v>
      </c>
    </row>
    <row r="149" spans="1:9" ht="66" x14ac:dyDescent="0.2">
      <c r="A149" s="2" t="s">
        <v>308</v>
      </c>
      <c r="B149" s="3">
        <v>1</v>
      </c>
      <c r="C149" s="4">
        <v>56.99</v>
      </c>
      <c r="D149" s="3" t="s">
        <v>309</v>
      </c>
      <c r="E149" s="2" t="s">
        <v>310</v>
      </c>
      <c r="F149" s="2" t="s">
        <v>311</v>
      </c>
      <c r="G149" s="2" t="s">
        <v>13</v>
      </c>
      <c r="H149" s="2" t="s">
        <v>112</v>
      </c>
      <c r="I149" s="5" t="str">
        <f>HYPERLINK("http://slimages.macys.com/is/image/MCY/9312968 ")</f>
        <v xml:space="preserve">http://slimages.macys.com/is/image/MCY/9312968 </v>
      </c>
    </row>
    <row r="150" spans="1:9" ht="66" x14ac:dyDescent="0.2">
      <c r="A150" s="2" t="s">
        <v>312</v>
      </c>
      <c r="B150" s="3">
        <v>1</v>
      </c>
      <c r="C150" s="4">
        <v>56.99</v>
      </c>
      <c r="D150" s="3" t="s">
        <v>313</v>
      </c>
      <c r="E150" s="2" t="s">
        <v>314</v>
      </c>
      <c r="F150" s="2" t="s">
        <v>311</v>
      </c>
      <c r="G150" s="2" t="s">
        <v>13</v>
      </c>
      <c r="H150" s="2" t="s">
        <v>315</v>
      </c>
      <c r="I150" s="5" t="str">
        <f>HYPERLINK("http://slimages.macys.com/is/image/MCY/10393910 ")</f>
        <v xml:space="preserve">http://slimages.macys.com/is/image/MCY/10393910 </v>
      </c>
    </row>
    <row r="151" spans="1:9" ht="79" x14ac:dyDescent="0.2">
      <c r="A151" s="2" t="s">
        <v>316</v>
      </c>
      <c r="B151" s="3">
        <v>1</v>
      </c>
      <c r="C151" s="4">
        <v>45</v>
      </c>
      <c r="D151" s="3" t="s">
        <v>317</v>
      </c>
      <c r="E151" s="2" t="s">
        <v>318</v>
      </c>
      <c r="F151" s="2" t="s">
        <v>54</v>
      </c>
      <c r="G151" s="2" t="s">
        <v>13</v>
      </c>
      <c r="H151" s="2" t="s">
        <v>319</v>
      </c>
      <c r="I151" s="5" t="str">
        <f>HYPERLINK("http://slimages.macys.com/is/image/MCY/15240086 ")</f>
        <v xml:space="preserve">http://slimages.macys.com/is/image/MCY/15240086 </v>
      </c>
    </row>
    <row r="152" spans="1:9" ht="53" x14ac:dyDescent="0.2">
      <c r="A152" s="2" t="s">
        <v>320</v>
      </c>
      <c r="B152" s="3">
        <v>1</v>
      </c>
      <c r="C152" s="4">
        <v>56</v>
      </c>
      <c r="D152" s="3" t="s">
        <v>321</v>
      </c>
      <c r="E152" s="2" t="s">
        <v>124</v>
      </c>
      <c r="F152" s="2" t="s">
        <v>222</v>
      </c>
      <c r="G152" s="2" t="s">
        <v>13</v>
      </c>
      <c r="H152" s="2" t="s">
        <v>155</v>
      </c>
      <c r="I152" s="5" t="str">
        <f>HYPERLINK("http://slimages.macys.com/is/image/MCY/8452563 ")</f>
        <v xml:space="preserve">http://slimages.macys.com/is/image/MCY/8452563 </v>
      </c>
    </row>
    <row r="153" spans="1:9" ht="53" x14ac:dyDescent="0.2">
      <c r="A153" s="2" t="s">
        <v>320</v>
      </c>
      <c r="B153" s="3">
        <v>1</v>
      </c>
      <c r="C153" s="4">
        <v>56</v>
      </c>
      <c r="D153" s="3" t="s">
        <v>321</v>
      </c>
      <c r="E153" s="2" t="s">
        <v>167</v>
      </c>
      <c r="F153" s="2" t="s">
        <v>222</v>
      </c>
      <c r="G153" s="2" t="s">
        <v>13</v>
      </c>
      <c r="H153" s="2" t="s">
        <v>155</v>
      </c>
      <c r="I153" s="5" t="str">
        <f>HYPERLINK("http://slimages.macys.com/is/image/MCY/8452563 ")</f>
        <v xml:space="preserve">http://slimages.macys.com/is/image/MCY/8452563 </v>
      </c>
    </row>
    <row r="154" spans="1:9" ht="66" x14ac:dyDescent="0.2">
      <c r="A154" s="2" t="s">
        <v>322</v>
      </c>
      <c r="B154" s="3">
        <v>1</v>
      </c>
      <c r="C154" s="4">
        <v>39.99</v>
      </c>
      <c r="D154" s="3">
        <v>1442361</v>
      </c>
      <c r="E154" s="2" t="s">
        <v>323</v>
      </c>
      <c r="F154" s="2" t="s">
        <v>324</v>
      </c>
      <c r="G154" s="2"/>
      <c r="H154" s="2"/>
      <c r="I154" s="5" t="str">
        <f>HYPERLINK("http://slimages.macys.com/is/image/MCY/14706887 ")</f>
        <v xml:space="preserve">http://slimages.macys.com/is/image/MCY/14706887 </v>
      </c>
    </row>
    <row r="155" spans="1:9" ht="53" x14ac:dyDescent="0.2">
      <c r="A155" s="2" t="s">
        <v>325</v>
      </c>
      <c r="B155" s="3">
        <v>1</v>
      </c>
      <c r="C155" s="4">
        <v>52.99</v>
      </c>
      <c r="D155" s="3" t="s">
        <v>326</v>
      </c>
      <c r="E155" s="2" t="s">
        <v>116</v>
      </c>
      <c r="F155" s="2" t="s">
        <v>327</v>
      </c>
      <c r="G155" s="2" t="s">
        <v>13</v>
      </c>
      <c r="H155" s="2" t="s">
        <v>118</v>
      </c>
      <c r="I155" s="5" t="str">
        <f>HYPERLINK("http://slimages.macys.com/is/image/MCY/15117446 ")</f>
        <v xml:space="preserve">http://slimages.macys.com/is/image/MCY/15117446 </v>
      </c>
    </row>
    <row r="156" spans="1:9" ht="53" x14ac:dyDescent="0.2">
      <c r="A156" s="2" t="s">
        <v>328</v>
      </c>
      <c r="B156" s="3">
        <v>1</v>
      </c>
      <c r="C156" s="4">
        <v>66.989999999999995</v>
      </c>
      <c r="D156" s="3" t="s">
        <v>329</v>
      </c>
      <c r="E156" s="2" t="s">
        <v>330</v>
      </c>
      <c r="F156" s="2" t="s">
        <v>222</v>
      </c>
      <c r="G156" s="2" t="s">
        <v>13</v>
      </c>
      <c r="H156" s="2" t="s">
        <v>155</v>
      </c>
      <c r="I156" s="5" t="str">
        <f>HYPERLINK("http://slimages.macys.com/is/image/MCY/12740975 ")</f>
        <v xml:space="preserve">http://slimages.macys.com/is/image/MCY/12740975 </v>
      </c>
    </row>
    <row r="157" spans="1:9" ht="53" x14ac:dyDescent="0.2">
      <c r="A157" s="2" t="s">
        <v>325</v>
      </c>
      <c r="B157" s="3">
        <v>1</v>
      </c>
      <c r="C157" s="4">
        <v>52.99</v>
      </c>
      <c r="D157" s="3" t="s">
        <v>326</v>
      </c>
      <c r="E157" s="2" t="s">
        <v>116</v>
      </c>
      <c r="F157" s="2" t="s">
        <v>327</v>
      </c>
      <c r="G157" s="2" t="s">
        <v>13</v>
      </c>
      <c r="H157" s="2" t="s">
        <v>118</v>
      </c>
      <c r="I157" s="5" t="str">
        <f>HYPERLINK("http://slimages.macys.com/is/image/MCY/15117446 ")</f>
        <v xml:space="preserve">http://slimages.macys.com/is/image/MCY/15117446 </v>
      </c>
    </row>
    <row r="158" spans="1:9" ht="53" x14ac:dyDescent="0.2">
      <c r="A158" s="2" t="s">
        <v>331</v>
      </c>
      <c r="B158" s="3">
        <v>1</v>
      </c>
      <c r="C158" s="4">
        <v>52.99</v>
      </c>
      <c r="D158" s="3" t="s">
        <v>332</v>
      </c>
      <c r="E158" s="2" t="s">
        <v>85</v>
      </c>
      <c r="F158" s="2" t="s">
        <v>327</v>
      </c>
      <c r="G158" s="2" t="s">
        <v>13</v>
      </c>
      <c r="H158" s="2" t="s">
        <v>118</v>
      </c>
      <c r="I158" s="5" t="str">
        <f>HYPERLINK("http://slimages.macys.com/is/image/MCY/15869280 ")</f>
        <v xml:space="preserve">http://slimages.macys.com/is/image/MCY/15869280 </v>
      </c>
    </row>
    <row r="159" spans="1:9" ht="53" x14ac:dyDescent="0.2">
      <c r="A159" s="2" t="s">
        <v>333</v>
      </c>
      <c r="B159" s="3">
        <v>1</v>
      </c>
      <c r="C159" s="4">
        <v>52.99</v>
      </c>
      <c r="D159" s="3" t="s">
        <v>334</v>
      </c>
      <c r="E159" s="2" t="s">
        <v>335</v>
      </c>
      <c r="F159" s="2" t="s">
        <v>327</v>
      </c>
      <c r="G159" s="2" t="s">
        <v>13</v>
      </c>
      <c r="H159" s="2" t="s">
        <v>118</v>
      </c>
      <c r="I159" s="5" t="str">
        <f>HYPERLINK("http://slimages.macys.com/is/image/MCY/15117418 ")</f>
        <v xml:space="preserve">http://slimages.macys.com/is/image/MCY/15117418 </v>
      </c>
    </row>
    <row r="160" spans="1:9" ht="53" x14ac:dyDescent="0.2">
      <c r="A160" s="2" t="s">
        <v>336</v>
      </c>
      <c r="B160" s="3">
        <v>1</v>
      </c>
      <c r="C160" s="4">
        <v>45</v>
      </c>
      <c r="D160" s="3" t="s">
        <v>337</v>
      </c>
      <c r="E160" s="2" t="s">
        <v>106</v>
      </c>
      <c r="F160" s="2" t="s">
        <v>291</v>
      </c>
      <c r="G160" s="2" t="s">
        <v>13</v>
      </c>
      <c r="H160" s="2" t="s">
        <v>338</v>
      </c>
      <c r="I160" s="5" t="str">
        <f>HYPERLINK("http://slimages.macys.com/is/image/MCY/11760183 ")</f>
        <v xml:space="preserve">http://slimages.macys.com/is/image/MCY/11760183 </v>
      </c>
    </row>
    <row r="161" spans="1:9" ht="53" x14ac:dyDescent="0.2">
      <c r="A161" s="2" t="s">
        <v>183</v>
      </c>
      <c r="B161" s="3">
        <v>1</v>
      </c>
      <c r="C161" s="4">
        <v>56.5</v>
      </c>
      <c r="D161" s="3" t="s">
        <v>339</v>
      </c>
      <c r="E161" s="2" t="s">
        <v>106</v>
      </c>
      <c r="F161" s="2" t="s">
        <v>340</v>
      </c>
      <c r="G161" s="2" t="s">
        <v>13</v>
      </c>
      <c r="H161" s="2" t="s">
        <v>341</v>
      </c>
      <c r="I161" s="5" t="str">
        <f>HYPERLINK("http://slimages.macys.com/is/image/MCY/9404762 ")</f>
        <v xml:space="preserve">http://slimages.macys.com/is/image/MCY/9404762 </v>
      </c>
    </row>
    <row r="162" spans="1:9" ht="53" x14ac:dyDescent="0.2">
      <c r="A162" s="2" t="s">
        <v>342</v>
      </c>
      <c r="B162" s="3">
        <v>1</v>
      </c>
      <c r="C162" s="4">
        <v>35</v>
      </c>
      <c r="D162" s="3" t="s">
        <v>343</v>
      </c>
      <c r="E162" s="2" t="s">
        <v>310</v>
      </c>
      <c r="F162" s="2" t="s">
        <v>22</v>
      </c>
      <c r="G162" s="2" t="s">
        <v>13</v>
      </c>
      <c r="H162" s="2" t="s">
        <v>98</v>
      </c>
      <c r="I162" s="5" t="str">
        <f>HYPERLINK("http://slimages.macys.com/is/image/MCY/16076627 ")</f>
        <v xml:space="preserve">http://slimages.macys.com/is/image/MCY/16076627 </v>
      </c>
    </row>
    <row r="163" spans="1:9" ht="53" x14ac:dyDescent="0.2">
      <c r="A163" s="2" t="s">
        <v>344</v>
      </c>
      <c r="B163" s="3">
        <v>1</v>
      </c>
      <c r="C163" s="4">
        <v>42.99</v>
      </c>
      <c r="D163" s="3">
        <v>594060009</v>
      </c>
      <c r="E163" s="2" t="s">
        <v>17</v>
      </c>
      <c r="F163" s="2" t="s">
        <v>179</v>
      </c>
      <c r="G163" s="2" t="s">
        <v>13</v>
      </c>
      <c r="H163" s="2" t="s">
        <v>155</v>
      </c>
      <c r="I163" s="5" t="str">
        <f>HYPERLINK("http://slimages.macys.com/is/image/MCY/10067277 ")</f>
        <v xml:space="preserve">http://slimages.macys.com/is/image/MCY/10067277 </v>
      </c>
    </row>
    <row r="164" spans="1:9" ht="53" x14ac:dyDescent="0.2">
      <c r="A164" s="2" t="s">
        <v>345</v>
      </c>
      <c r="B164" s="3">
        <v>1</v>
      </c>
      <c r="C164" s="4">
        <v>49.5</v>
      </c>
      <c r="D164" s="3" t="s">
        <v>346</v>
      </c>
      <c r="E164" s="2" t="s">
        <v>148</v>
      </c>
      <c r="F164" s="2" t="s">
        <v>131</v>
      </c>
      <c r="G164" s="2" t="s">
        <v>13</v>
      </c>
      <c r="H164" s="2" t="s">
        <v>112</v>
      </c>
      <c r="I164" s="5" t="str">
        <f>HYPERLINK("http://slimages.macys.com/is/image/MCY/9178983 ")</f>
        <v xml:space="preserve">http://slimages.macys.com/is/image/MCY/9178983 </v>
      </c>
    </row>
    <row r="165" spans="1:9" ht="53" x14ac:dyDescent="0.2">
      <c r="A165" s="2" t="s">
        <v>344</v>
      </c>
      <c r="B165" s="3">
        <v>1</v>
      </c>
      <c r="C165" s="4">
        <v>42.99</v>
      </c>
      <c r="D165" s="3">
        <v>594060000</v>
      </c>
      <c r="E165" s="2" t="s">
        <v>347</v>
      </c>
      <c r="F165" s="2" t="s">
        <v>179</v>
      </c>
      <c r="G165" s="2" t="s">
        <v>13</v>
      </c>
      <c r="H165" s="2" t="s">
        <v>155</v>
      </c>
      <c r="I165" s="5" t="str">
        <f>HYPERLINK("http://slimages.macys.com/is/image/MCY/10067277 ")</f>
        <v xml:space="preserve">http://slimages.macys.com/is/image/MCY/10067277 </v>
      </c>
    </row>
    <row r="166" spans="1:9" ht="53" x14ac:dyDescent="0.2">
      <c r="A166" s="2" t="s">
        <v>344</v>
      </c>
      <c r="B166" s="3">
        <v>1</v>
      </c>
      <c r="C166" s="4">
        <v>42.99</v>
      </c>
      <c r="D166" s="3">
        <v>594060009</v>
      </c>
      <c r="E166" s="2" t="s">
        <v>17</v>
      </c>
      <c r="F166" s="2" t="s">
        <v>179</v>
      </c>
      <c r="G166" s="2" t="s">
        <v>13</v>
      </c>
      <c r="H166" s="2" t="s">
        <v>155</v>
      </c>
      <c r="I166" s="5" t="str">
        <f>HYPERLINK("http://slimages.macys.com/is/image/MCY/10067277 ")</f>
        <v xml:space="preserve">http://slimages.macys.com/is/image/MCY/10067277 </v>
      </c>
    </row>
    <row r="167" spans="1:9" ht="53" x14ac:dyDescent="0.2">
      <c r="A167" s="2" t="s">
        <v>348</v>
      </c>
      <c r="B167" s="3">
        <v>1</v>
      </c>
      <c r="C167" s="4">
        <v>55</v>
      </c>
      <c r="D167" s="3" t="s">
        <v>349</v>
      </c>
      <c r="E167" s="2" t="s">
        <v>167</v>
      </c>
      <c r="F167" s="2" t="s">
        <v>350</v>
      </c>
      <c r="G167" s="2" t="s">
        <v>13</v>
      </c>
      <c r="H167" s="2" t="s">
        <v>118</v>
      </c>
      <c r="I167" s="5" t="str">
        <f>HYPERLINK("http://slimages.macys.com/is/image/MCY/15805755 ")</f>
        <v xml:space="preserve">http://slimages.macys.com/is/image/MCY/15805755 </v>
      </c>
    </row>
    <row r="168" spans="1:9" ht="144" x14ac:dyDescent="0.2">
      <c r="A168" s="2" t="s">
        <v>351</v>
      </c>
      <c r="B168" s="3">
        <v>1</v>
      </c>
      <c r="C168" s="4">
        <v>34.99</v>
      </c>
      <c r="D168" s="3">
        <v>1257471</v>
      </c>
      <c r="E168" s="2" t="s">
        <v>167</v>
      </c>
      <c r="F168" s="2" t="s">
        <v>218</v>
      </c>
      <c r="G168" s="2" t="s">
        <v>13</v>
      </c>
      <c r="H168" s="2" t="s">
        <v>352</v>
      </c>
      <c r="I168" s="5" t="str">
        <f>HYPERLINK("http://slimages.macys.com/is/image/MCY/3364979 ")</f>
        <v xml:space="preserve">http://slimages.macys.com/is/image/MCY/3364979 </v>
      </c>
    </row>
    <row r="169" spans="1:9" ht="144" x14ac:dyDescent="0.2">
      <c r="A169" s="2" t="s">
        <v>353</v>
      </c>
      <c r="B169" s="3">
        <v>1</v>
      </c>
      <c r="C169" s="4">
        <v>34.99</v>
      </c>
      <c r="D169" s="3">
        <v>1257471</v>
      </c>
      <c r="E169" s="2" t="s">
        <v>33</v>
      </c>
      <c r="F169" s="2" t="s">
        <v>218</v>
      </c>
      <c r="G169" s="2" t="s">
        <v>13</v>
      </c>
      <c r="H169" s="2" t="s">
        <v>352</v>
      </c>
      <c r="I169" s="5" t="str">
        <f>HYPERLINK("http://slimages.macys.com/is/image/MCY/3364979 ")</f>
        <v xml:space="preserve">http://slimages.macys.com/is/image/MCY/3364979 </v>
      </c>
    </row>
    <row r="170" spans="1:9" ht="53" x14ac:dyDescent="0.2">
      <c r="A170" s="2" t="s">
        <v>354</v>
      </c>
      <c r="B170" s="3">
        <v>2</v>
      </c>
      <c r="C170" s="4">
        <v>159</v>
      </c>
      <c r="D170" s="3">
        <v>100075439</v>
      </c>
      <c r="E170" s="2" t="s">
        <v>33</v>
      </c>
      <c r="F170" s="2" t="s">
        <v>210</v>
      </c>
      <c r="G170" s="2" t="s">
        <v>13</v>
      </c>
      <c r="H170" s="2" t="s">
        <v>315</v>
      </c>
      <c r="I170" s="5" t="str">
        <f>HYPERLINK("http://slimages.macys.com/is/image/MCY/16135488 ")</f>
        <v xml:space="preserve">http://slimages.macys.com/is/image/MCY/16135488 </v>
      </c>
    </row>
    <row r="171" spans="1:9" ht="53" x14ac:dyDescent="0.2">
      <c r="A171" s="2" t="s">
        <v>354</v>
      </c>
      <c r="B171" s="3">
        <v>2</v>
      </c>
      <c r="C171" s="4">
        <v>159</v>
      </c>
      <c r="D171" s="3">
        <v>100075439</v>
      </c>
      <c r="E171" s="2" t="s">
        <v>33</v>
      </c>
      <c r="F171" s="2" t="s">
        <v>210</v>
      </c>
      <c r="G171" s="2" t="s">
        <v>13</v>
      </c>
      <c r="H171" s="2" t="s">
        <v>315</v>
      </c>
      <c r="I171" s="5" t="str">
        <f>HYPERLINK("http://slimages.macys.com/is/image/MCY/16135488 ")</f>
        <v xml:space="preserve">http://slimages.macys.com/is/image/MCY/16135488 </v>
      </c>
    </row>
    <row r="172" spans="1:9" ht="53" x14ac:dyDescent="0.2">
      <c r="A172" s="2" t="s">
        <v>354</v>
      </c>
      <c r="B172" s="3">
        <v>1</v>
      </c>
      <c r="C172" s="4">
        <v>79.5</v>
      </c>
      <c r="D172" s="3">
        <v>100075439</v>
      </c>
      <c r="E172" s="2" t="s">
        <v>33</v>
      </c>
      <c r="F172" s="2" t="s">
        <v>210</v>
      </c>
      <c r="G172" s="2" t="s">
        <v>13</v>
      </c>
      <c r="H172" s="2" t="s">
        <v>315</v>
      </c>
      <c r="I172" s="5" t="str">
        <f>HYPERLINK("http://slimages.macys.com/is/image/MCY/16135488 ")</f>
        <v xml:space="preserve">http://slimages.macys.com/is/image/MCY/16135488 </v>
      </c>
    </row>
    <row r="173" spans="1:9" ht="53" x14ac:dyDescent="0.2">
      <c r="A173" s="2" t="s">
        <v>354</v>
      </c>
      <c r="B173" s="3">
        <v>1</v>
      </c>
      <c r="C173" s="4">
        <v>79.5</v>
      </c>
      <c r="D173" s="3">
        <v>100075439</v>
      </c>
      <c r="E173" s="2" t="s">
        <v>33</v>
      </c>
      <c r="F173" s="2" t="s">
        <v>210</v>
      </c>
      <c r="G173" s="2" t="s">
        <v>13</v>
      </c>
      <c r="H173" s="2" t="s">
        <v>315</v>
      </c>
      <c r="I173" s="5" t="str">
        <f>HYPERLINK("http://slimages.macys.com/is/image/MCY/16135488 ")</f>
        <v xml:space="preserve">http://slimages.macys.com/is/image/MCY/16135488 </v>
      </c>
    </row>
    <row r="174" spans="1:9" ht="53" x14ac:dyDescent="0.2">
      <c r="A174" s="2" t="s">
        <v>355</v>
      </c>
      <c r="B174" s="3">
        <v>1</v>
      </c>
      <c r="C174" s="4">
        <v>49.99</v>
      </c>
      <c r="D174" s="3" t="s">
        <v>356</v>
      </c>
      <c r="E174" s="2" t="s">
        <v>11</v>
      </c>
      <c r="F174" s="2" t="s">
        <v>86</v>
      </c>
      <c r="G174" s="2" t="s">
        <v>13</v>
      </c>
      <c r="H174" s="2" t="s">
        <v>341</v>
      </c>
      <c r="I174" s="5" t="str">
        <f>HYPERLINK("http://slimages.macys.com/is/image/MCY/16433533 ")</f>
        <v xml:space="preserve">http://slimages.macys.com/is/image/MCY/16433533 </v>
      </c>
    </row>
    <row r="175" spans="1:9" ht="53" x14ac:dyDescent="0.2">
      <c r="A175" s="2" t="s">
        <v>357</v>
      </c>
      <c r="B175" s="3">
        <v>1</v>
      </c>
      <c r="C175" s="4">
        <v>56</v>
      </c>
      <c r="D175" s="3" t="s">
        <v>358</v>
      </c>
      <c r="E175" s="2" t="s">
        <v>33</v>
      </c>
      <c r="F175" s="2" t="s">
        <v>359</v>
      </c>
      <c r="G175" s="2" t="s">
        <v>13</v>
      </c>
      <c r="H175" s="2" t="s">
        <v>360</v>
      </c>
      <c r="I175" s="5" t="str">
        <f>HYPERLINK("http://slimages.macys.com/is/image/MCY/15122027 ")</f>
        <v xml:space="preserve">http://slimages.macys.com/is/image/MCY/15122027 </v>
      </c>
    </row>
    <row r="176" spans="1:9" ht="53" x14ac:dyDescent="0.2">
      <c r="A176" s="2" t="s">
        <v>361</v>
      </c>
      <c r="B176" s="3">
        <v>1</v>
      </c>
      <c r="C176" s="4">
        <v>53</v>
      </c>
      <c r="D176" s="3" t="s">
        <v>362</v>
      </c>
      <c r="E176" s="2" t="s">
        <v>46</v>
      </c>
      <c r="F176" s="2" t="s">
        <v>363</v>
      </c>
      <c r="G176" s="2" t="s">
        <v>13</v>
      </c>
      <c r="H176" s="2" t="s">
        <v>364</v>
      </c>
      <c r="I176" s="5" t="str">
        <f>HYPERLINK("http://slimages.macys.com/is/image/MCY/16385313 ")</f>
        <v xml:space="preserve">http://slimages.macys.com/is/image/MCY/16385313 </v>
      </c>
    </row>
    <row r="177" spans="1:9" ht="53" x14ac:dyDescent="0.2">
      <c r="A177" s="2" t="s">
        <v>365</v>
      </c>
      <c r="B177" s="3">
        <v>1</v>
      </c>
      <c r="C177" s="4">
        <v>34.99</v>
      </c>
      <c r="D177" s="3" t="s">
        <v>366</v>
      </c>
      <c r="E177" s="2" t="s">
        <v>148</v>
      </c>
      <c r="F177" s="2" t="s">
        <v>367</v>
      </c>
      <c r="G177" s="2" t="s">
        <v>13</v>
      </c>
      <c r="H177" s="2" t="s">
        <v>112</v>
      </c>
      <c r="I177" s="5" t="str">
        <f>HYPERLINK("http://slimages.macys.com/is/image/MCY/15626213 ")</f>
        <v xml:space="preserve">http://slimages.macys.com/is/image/MCY/15626213 </v>
      </c>
    </row>
    <row r="178" spans="1:9" ht="53" x14ac:dyDescent="0.2">
      <c r="A178" s="2" t="s">
        <v>365</v>
      </c>
      <c r="B178" s="3">
        <v>1</v>
      </c>
      <c r="C178" s="4">
        <v>34.99</v>
      </c>
      <c r="D178" s="3" t="s">
        <v>366</v>
      </c>
      <c r="E178" s="2" t="s">
        <v>148</v>
      </c>
      <c r="F178" s="2" t="s">
        <v>367</v>
      </c>
      <c r="G178" s="2" t="s">
        <v>13</v>
      </c>
      <c r="H178" s="2" t="s">
        <v>112</v>
      </c>
      <c r="I178" s="5" t="str">
        <f>HYPERLINK("http://slimages.macys.com/is/image/MCY/15626213 ")</f>
        <v xml:space="preserve">http://slimages.macys.com/is/image/MCY/15626213 </v>
      </c>
    </row>
    <row r="179" spans="1:9" ht="53" x14ac:dyDescent="0.2">
      <c r="A179" s="2" t="s">
        <v>368</v>
      </c>
      <c r="B179" s="3">
        <v>1</v>
      </c>
      <c r="C179" s="4">
        <v>39.99</v>
      </c>
      <c r="D179" s="3">
        <v>5010194</v>
      </c>
      <c r="E179" s="2" t="s">
        <v>106</v>
      </c>
      <c r="F179" s="2" t="s">
        <v>97</v>
      </c>
      <c r="G179" s="2" t="s">
        <v>13</v>
      </c>
      <c r="H179" s="2" t="s">
        <v>155</v>
      </c>
      <c r="I179" s="5" t="str">
        <f>HYPERLINK("http://slimages.macys.com/is/image/MCY/1515588 ")</f>
        <v xml:space="preserve">http://slimages.macys.com/is/image/MCY/1515588 </v>
      </c>
    </row>
    <row r="180" spans="1:9" ht="53" x14ac:dyDescent="0.2">
      <c r="A180" s="2" t="s">
        <v>369</v>
      </c>
      <c r="B180" s="3">
        <v>1</v>
      </c>
      <c r="C180" s="4">
        <v>79.5</v>
      </c>
      <c r="D180" s="3">
        <v>60650548</v>
      </c>
      <c r="E180" s="2" t="s">
        <v>33</v>
      </c>
      <c r="F180" s="2" t="s">
        <v>210</v>
      </c>
      <c r="G180" s="2" t="s">
        <v>13</v>
      </c>
      <c r="H180" s="2" t="s">
        <v>112</v>
      </c>
      <c r="I180" s="5" t="str">
        <f>HYPERLINK("http://slimages.macys.com/is/image/MCY/2946561 ")</f>
        <v xml:space="preserve">http://slimages.macys.com/is/image/MCY/2946561 </v>
      </c>
    </row>
    <row r="181" spans="1:9" ht="53" x14ac:dyDescent="0.2">
      <c r="A181" s="2" t="s">
        <v>370</v>
      </c>
      <c r="B181" s="3">
        <v>1</v>
      </c>
      <c r="C181" s="4">
        <v>47</v>
      </c>
      <c r="D181" s="3" t="s">
        <v>371</v>
      </c>
      <c r="E181" s="2" t="s">
        <v>167</v>
      </c>
      <c r="F181" s="2" t="s">
        <v>363</v>
      </c>
      <c r="G181" s="2" t="s">
        <v>13</v>
      </c>
      <c r="H181" s="2" t="s">
        <v>364</v>
      </c>
      <c r="I181" s="5" t="str">
        <f>HYPERLINK("http://slimages.macys.com/is/image/MCY/11251693 ")</f>
        <v xml:space="preserve">http://slimages.macys.com/is/image/MCY/11251693 </v>
      </c>
    </row>
    <row r="182" spans="1:9" ht="53" x14ac:dyDescent="0.2">
      <c r="A182" s="2" t="s">
        <v>370</v>
      </c>
      <c r="B182" s="3">
        <v>1</v>
      </c>
      <c r="C182" s="4">
        <v>47</v>
      </c>
      <c r="D182" s="3" t="s">
        <v>372</v>
      </c>
      <c r="E182" s="2" t="s">
        <v>94</v>
      </c>
      <c r="F182" s="2" t="s">
        <v>363</v>
      </c>
      <c r="G182" s="2" t="s">
        <v>13</v>
      </c>
      <c r="H182" s="2" t="s">
        <v>364</v>
      </c>
      <c r="I182" s="5" t="str">
        <f>HYPERLINK("http://slimages.macys.com/is/image/MCY/11251693 ")</f>
        <v xml:space="preserve">http://slimages.macys.com/is/image/MCY/11251693 </v>
      </c>
    </row>
    <row r="183" spans="1:9" ht="53" x14ac:dyDescent="0.2">
      <c r="A183" s="2" t="s">
        <v>193</v>
      </c>
      <c r="B183" s="3">
        <v>1</v>
      </c>
      <c r="C183" s="4">
        <v>52.99</v>
      </c>
      <c r="D183" s="3" t="s">
        <v>373</v>
      </c>
      <c r="E183" s="2" t="s">
        <v>85</v>
      </c>
      <c r="F183" s="2" t="s">
        <v>327</v>
      </c>
      <c r="G183" s="2" t="s">
        <v>13</v>
      </c>
      <c r="H183" s="2" t="s">
        <v>145</v>
      </c>
      <c r="I183" s="5" t="str">
        <f>HYPERLINK("http://slimages.macys.com/is/image/MCY/11665999 ")</f>
        <v xml:space="preserve">http://slimages.macys.com/is/image/MCY/11665999 </v>
      </c>
    </row>
    <row r="184" spans="1:9" ht="53" x14ac:dyDescent="0.2">
      <c r="A184" s="2" t="s">
        <v>374</v>
      </c>
      <c r="B184" s="3">
        <v>1</v>
      </c>
      <c r="C184" s="4">
        <v>34.99</v>
      </c>
      <c r="D184" s="3" t="s">
        <v>375</v>
      </c>
      <c r="E184" s="2" t="s">
        <v>148</v>
      </c>
      <c r="F184" s="2" t="s">
        <v>367</v>
      </c>
      <c r="G184" s="2" t="s">
        <v>13</v>
      </c>
      <c r="H184" s="2" t="s">
        <v>112</v>
      </c>
      <c r="I184" s="5" t="str">
        <f>HYPERLINK("http://slimages.macys.com/is/image/MCY/15436829 ")</f>
        <v xml:space="preserve">http://slimages.macys.com/is/image/MCY/15436829 </v>
      </c>
    </row>
    <row r="185" spans="1:9" ht="53" x14ac:dyDescent="0.2">
      <c r="A185" s="2" t="s">
        <v>193</v>
      </c>
      <c r="B185" s="3">
        <v>1</v>
      </c>
      <c r="C185" s="4">
        <v>52.99</v>
      </c>
      <c r="D185" s="3" t="s">
        <v>373</v>
      </c>
      <c r="E185" s="2" t="s">
        <v>85</v>
      </c>
      <c r="F185" s="2" t="s">
        <v>327</v>
      </c>
      <c r="G185" s="2" t="s">
        <v>13</v>
      </c>
      <c r="H185" s="2" t="s">
        <v>145</v>
      </c>
      <c r="I185" s="5" t="str">
        <f>HYPERLINK("http://slimages.macys.com/is/image/MCY/11665999 ")</f>
        <v xml:space="preserve">http://slimages.macys.com/is/image/MCY/11665999 </v>
      </c>
    </row>
    <row r="186" spans="1:9" ht="53" x14ac:dyDescent="0.2">
      <c r="A186" s="2" t="s">
        <v>376</v>
      </c>
      <c r="B186" s="3">
        <v>1</v>
      </c>
      <c r="C186" s="4">
        <v>45</v>
      </c>
      <c r="D186" s="3" t="s">
        <v>377</v>
      </c>
      <c r="E186" s="2" t="s">
        <v>46</v>
      </c>
      <c r="F186" s="2" t="s">
        <v>12</v>
      </c>
      <c r="G186" s="2" t="s">
        <v>13</v>
      </c>
      <c r="H186" s="2" t="s">
        <v>378</v>
      </c>
      <c r="I186" s="5" t="str">
        <f>HYPERLINK("http://slimages.macys.com/is/image/MCY/11556369 ")</f>
        <v xml:space="preserve">http://slimages.macys.com/is/image/MCY/11556369 </v>
      </c>
    </row>
    <row r="187" spans="1:9" ht="79" x14ac:dyDescent="0.2">
      <c r="A187" s="2" t="s">
        <v>379</v>
      </c>
      <c r="B187" s="3">
        <v>1</v>
      </c>
      <c r="C187" s="4">
        <v>79.5</v>
      </c>
      <c r="D187" s="3">
        <v>100063364</v>
      </c>
      <c r="E187" s="2" t="s">
        <v>197</v>
      </c>
      <c r="F187" s="2" t="s">
        <v>210</v>
      </c>
      <c r="G187" s="2" t="s">
        <v>13</v>
      </c>
      <c r="H187" s="2" t="s">
        <v>380</v>
      </c>
      <c r="I187" s="5" t="str">
        <f>HYPERLINK("http://slimages.macys.com/is/image/MCY/13731019 ")</f>
        <v xml:space="preserve">http://slimages.macys.com/is/image/MCY/13731019 </v>
      </c>
    </row>
    <row r="188" spans="1:9" ht="79" x14ac:dyDescent="0.2">
      <c r="A188" s="2" t="s">
        <v>379</v>
      </c>
      <c r="B188" s="3">
        <v>1</v>
      </c>
      <c r="C188" s="4">
        <v>79.5</v>
      </c>
      <c r="D188" s="3">
        <v>100063364</v>
      </c>
      <c r="E188" s="2" t="s">
        <v>197</v>
      </c>
      <c r="F188" s="2" t="s">
        <v>210</v>
      </c>
      <c r="G188" s="2" t="s">
        <v>13</v>
      </c>
      <c r="H188" s="2" t="s">
        <v>380</v>
      </c>
      <c r="I188" s="5" t="str">
        <f>HYPERLINK("http://slimages.macys.com/is/image/MCY/13731019 ")</f>
        <v xml:space="preserve">http://slimages.macys.com/is/image/MCY/13731019 </v>
      </c>
    </row>
    <row r="189" spans="1:9" ht="79" x14ac:dyDescent="0.2">
      <c r="A189" s="2" t="s">
        <v>379</v>
      </c>
      <c r="B189" s="3">
        <v>1</v>
      </c>
      <c r="C189" s="4">
        <v>79.5</v>
      </c>
      <c r="D189" s="3">
        <v>100063364</v>
      </c>
      <c r="E189" s="2" t="s">
        <v>197</v>
      </c>
      <c r="F189" s="2" t="s">
        <v>210</v>
      </c>
      <c r="G189" s="2" t="s">
        <v>13</v>
      </c>
      <c r="H189" s="2" t="s">
        <v>380</v>
      </c>
      <c r="I189" s="5" t="str">
        <f>HYPERLINK("http://slimages.macys.com/is/image/MCY/13731019 ")</f>
        <v xml:space="preserve">http://slimages.macys.com/is/image/MCY/13731019 </v>
      </c>
    </row>
    <row r="190" spans="1:9" ht="53" x14ac:dyDescent="0.2">
      <c r="A190" s="2" t="s">
        <v>381</v>
      </c>
      <c r="B190" s="3">
        <v>1</v>
      </c>
      <c r="C190" s="4">
        <v>29</v>
      </c>
      <c r="D190" s="3" t="s">
        <v>382</v>
      </c>
      <c r="E190" s="2" t="s">
        <v>167</v>
      </c>
      <c r="F190" s="2" t="s">
        <v>22</v>
      </c>
      <c r="G190" s="2" t="s">
        <v>13</v>
      </c>
      <c r="H190" s="2" t="s">
        <v>112</v>
      </c>
      <c r="I190" s="5" t="str">
        <f>HYPERLINK("http://slimages.macys.com/is/image/MCY/15850609 ")</f>
        <v xml:space="preserve">http://slimages.macys.com/is/image/MCY/15850609 </v>
      </c>
    </row>
    <row r="191" spans="1:9" ht="53" x14ac:dyDescent="0.2">
      <c r="A191" s="2" t="s">
        <v>383</v>
      </c>
      <c r="B191" s="3">
        <v>1</v>
      </c>
      <c r="C191" s="4">
        <v>39</v>
      </c>
      <c r="D191" s="3" t="s">
        <v>384</v>
      </c>
      <c r="E191" s="2" t="s">
        <v>385</v>
      </c>
      <c r="F191" s="2" t="s">
        <v>22</v>
      </c>
      <c r="G191" s="2" t="s">
        <v>13</v>
      </c>
      <c r="H191" s="2" t="s">
        <v>112</v>
      </c>
      <c r="I191" s="5" t="str">
        <f>HYPERLINK("http://slimages.macys.com/is/image/MCY/12342054 ")</f>
        <v xml:space="preserve">http://slimages.macys.com/is/image/MCY/12342054 </v>
      </c>
    </row>
    <row r="192" spans="1:9" ht="53" x14ac:dyDescent="0.2">
      <c r="A192" s="2" t="s">
        <v>386</v>
      </c>
      <c r="B192" s="3">
        <v>1</v>
      </c>
      <c r="C192" s="4">
        <v>35</v>
      </c>
      <c r="D192" s="3">
        <v>910704</v>
      </c>
      <c r="E192" s="2" t="s">
        <v>116</v>
      </c>
      <c r="F192" s="2" t="s">
        <v>54</v>
      </c>
      <c r="G192" s="2"/>
      <c r="H192" s="2"/>
      <c r="I192" s="5" t="str">
        <f>HYPERLINK("http://slimages.macys.com/is/image/MCY/10519544 ")</f>
        <v xml:space="preserve">http://slimages.macys.com/is/image/MCY/10519544 </v>
      </c>
    </row>
    <row r="193" spans="1:9" ht="144" x14ac:dyDescent="0.2">
      <c r="A193" s="2" t="s">
        <v>387</v>
      </c>
      <c r="B193" s="3">
        <v>1</v>
      </c>
      <c r="C193" s="4">
        <v>75</v>
      </c>
      <c r="D193" s="3">
        <v>100088859</v>
      </c>
      <c r="E193" s="2" t="s">
        <v>33</v>
      </c>
      <c r="F193" s="2" t="s">
        <v>210</v>
      </c>
      <c r="G193" s="2" t="s">
        <v>13</v>
      </c>
      <c r="H193" s="2" t="s">
        <v>388</v>
      </c>
      <c r="I193" s="5" t="str">
        <f>HYPERLINK("http://slimages.macys.com/is/image/MCY/16268610 ")</f>
        <v xml:space="preserve">http://slimages.macys.com/is/image/MCY/16268610 </v>
      </c>
    </row>
    <row r="194" spans="1:9" ht="53" x14ac:dyDescent="0.2">
      <c r="A194" s="2" t="s">
        <v>389</v>
      </c>
      <c r="B194" s="3">
        <v>1</v>
      </c>
      <c r="C194" s="4">
        <v>50</v>
      </c>
      <c r="D194" s="3">
        <v>10009031700</v>
      </c>
      <c r="E194" s="2" t="s">
        <v>167</v>
      </c>
      <c r="F194" s="2" t="s">
        <v>390</v>
      </c>
      <c r="G194" s="2" t="s">
        <v>13</v>
      </c>
      <c r="H194" s="2" t="s">
        <v>118</v>
      </c>
      <c r="I194" s="5" t="str">
        <f>HYPERLINK("http://slimages.macys.com/is/image/MCY/16344685 ")</f>
        <v xml:space="preserve">http://slimages.macys.com/is/image/MCY/16344685 </v>
      </c>
    </row>
    <row r="195" spans="1:9" ht="66" x14ac:dyDescent="0.2">
      <c r="A195" s="2" t="s">
        <v>391</v>
      </c>
      <c r="B195" s="3">
        <v>1</v>
      </c>
      <c r="C195" s="4">
        <v>44.99</v>
      </c>
      <c r="D195" s="3" t="s">
        <v>392</v>
      </c>
      <c r="E195" s="2" t="s">
        <v>243</v>
      </c>
      <c r="F195" s="2" t="s">
        <v>393</v>
      </c>
      <c r="G195" s="2" t="s">
        <v>13</v>
      </c>
      <c r="H195" s="2" t="s">
        <v>35</v>
      </c>
      <c r="I195" s="5" t="str">
        <f>HYPERLINK("http://slimages.macys.com/is/image/MCY/311507 ")</f>
        <v xml:space="preserve">http://slimages.macys.com/is/image/MCY/311507 </v>
      </c>
    </row>
    <row r="196" spans="1:9" ht="66" x14ac:dyDescent="0.2">
      <c r="A196" s="2" t="s">
        <v>394</v>
      </c>
      <c r="B196" s="3">
        <v>1</v>
      </c>
      <c r="C196" s="4">
        <v>39.99</v>
      </c>
      <c r="D196" s="3" t="s">
        <v>395</v>
      </c>
      <c r="E196" s="2" t="s">
        <v>396</v>
      </c>
      <c r="F196" s="2" t="s">
        <v>397</v>
      </c>
      <c r="G196" s="2" t="s">
        <v>13</v>
      </c>
      <c r="H196" s="2" t="s">
        <v>112</v>
      </c>
      <c r="I196" s="5" t="str">
        <f>HYPERLINK("http://slimages.macys.com/is/image/MCY/16482117 ")</f>
        <v xml:space="preserve">http://slimages.macys.com/is/image/MCY/16482117 </v>
      </c>
    </row>
    <row r="197" spans="1:9" ht="53" x14ac:dyDescent="0.2">
      <c r="A197" s="2" t="s">
        <v>398</v>
      </c>
      <c r="B197" s="3">
        <v>1</v>
      </c>
      <c r="C197" s="4">
        <v>39.99</v>
      </c>
      <c r="D197" s="3">
        <v>478740006</v>
      </c>
      <c r="E197" s="2" t="s">
        <v>33</v>
      </c>
      <c r="F197" s="2" t="s">
        <v>179</v>
      </c>
      <c r="G197" s="2" t="s">
        <v>13</v>
      </c>
      <c r="H197" s="2" t="s">
        <v>145</v>
      </c>
      <c r="I197" s="5" t="str">
        <f>HYPERLINK("http://slimages.macys.com/is/image/MCY/2910875 ")</f>
        <v xml:space="preserve">http://slimages.macys.com/is/image/MCY/2910875 </v>
      </c>
    </row>
    <row r="198" spans="1:9" ht="53" x14ac:dyDescent="0.2">
      <c r="A198" s="2" t="s">
        <v>399</v>
      </c>
      <c r="B198" s="3">
        <v>1</v>
      </c>
      <c r="C198" s="4">
        <v>34.99</v>
      </c>
      <c r="D198" s="3" t="s">
        <v>400</v>
      </c>
      <c r="E198" s="2" t="s">
        <v>167</v>
      </c>
      <c r="F198" s="2" t="s">
        <v>367</v>
      </c>
      <c r="G198" s="2" t="s">
        <v>13</v>
      </c>
      <c r="H198" s="2" t="s">
        <v>118</v>
      </c>
      <c r="I198" s="5" t="str">
        <f>HYPERLINK("http://slimages.macys.com/is/image/MCY/14350785 ")</f>
        <v xml:space="preserve">http://slimages.macys.com/is/image/MCY/14350785 </v>
      </c>
    </row>
    <row r="199" spans="1:9" ht="53" x14ac:dyDescent="0.2">
      <c r="A199" s="2" t="s">
        <v>401</v>
      </c>
      <c r="B199" s="3">
        <v>1</v>
      </c>
      <c r="C199" s="4">
        <v>34.99</v>
      </c>
      <c r="D199" s="3" t="s">
        <v>400</v>
      </c>
      <c r="E199" s="2" t="s">
        <v>402</v>
      </c>
      <c r="F199" s="2" t="s">
        <v>367</v>
      </c>
      <c r="G199" s="2" t="s">
        <v>13</v>
      </c>
      <c r="H199" s="2" t="s">
        <v>118</v>
      </c>
      <c r="I199" s="5" t="str">
        <f>HYPERLINK("http://slimages.macys.com/is/image/MCY/14350785 ")</f>
        <v xml:space="preserve">http://slimages.macys.com/is/image/MCY/14350785 </v>
      </c>
    </row>
    <row r="200" spans="1:9" ht="53" x14ac:dyDescent="0.2">
      <c r="A200" s="2" t="s">
        <v>401</v>
      </c>
      <c r="B200" s="3">
        <v>1</v>
      </c>
      <c r="C200" s="4">
        <v>34.99</v>
      </c>
      <c r="D200" s="3" t="s">
        <v>400</v>
      </c>
      <c r="E200" s="2" t="s">
        <v>402</v>
      </c>
      <c r="F200" s="2" t="s">
        <v>367</v>
      </c>
      <c r="G200" s="2" t="s">
        <v>13</v>
      </c>
      <c r="H200" s="2" t="s">
        <v>118</v>
      </c>
      <c r="I200" s="5" t="str">
        <f>HYPERLINK("http://slimages.macys.com/is/image/MCY/14350785 ")</f>
        <v xml:space="preserve">http://slimages.macys.com/is/image/MCY/14350785 </v>
      </c>
    </row>
    <row r="201" spans="1:9" ht="53" x14ac:dyDescent="0.2">
      <c r="A201" s="2" t="s">
        <v>403</v>
      </c>
      <c r="B201" s="3">
        <v>1</v>
      </c>
      <c r="C201" s="4">
        <v>44.99</v>
      </c>
      <c r="D201" s="3" t="s">
        <v>404</v>
      </c>
      <c r="E201" s="2" t="s">
        <v>330</v>
      </c>
      <c r="F201" s="2" t="s">
        <v>86</v>
      </c>
      <c r="G201" s="2" t="s">
        <v>13</v>
      </c>
      <c r="H201" s="2" t="s">
        <v>405</v>
      </c>
      <c r="I201" s="5" t="str">
        <f>HYPERLINK("http://slimages.macys.com/is/image/MCY/15970083 ")</f>
        <v xml:space="preserve">http://slimages.macys.com/is/image/MCY/15970083 </v>
      </c>
    </row>
    <row r="202" spans="1:9" ht="53" x14ac:dyDescent="0.2">
      <c r="A202" s="2" t="s">
        <v>406</v>
      </c>
      <c r="B202" s="3">
        <v>1</v>
      </c>
      <c r="C202" s="4">
        <v>44</v>
      </c>
      <c r="D202" s="3" t="s">
        <v>407</v>
      </c>
      <c r="E202" s="2" t="s">
        <v>314</v>
      </c>
      <c r="F202" s="2" t="s">
        <v>12</v>
      </c>
      <c r="G202" s="2" t="s">
        <v>13</v>
      </c>
      <c r="H202" s="2" t="s">
        <v>408</v>
      </c>
      <c r="I202" s="5" t="str">
        <f>HYPERLINK("http://slimages.macys.com/is/image/MCY/16385449 ")</f>
        <v xml:space="preserve">http://slimages.macys.com/is/image/MCY/16385449 </v>
      </c>
    </row>
    <row r="203" spans="1:9" ht="53" x14ac:dyDescent="0.2">
      <c r="A203" s="2" t="s">
        <v>409</v>
      </c>
      <c r="B203" s="3">
        <v>1</v>
      </c>
      <c r="C203" s="4">
        <v>47</v>
      </c>
      <c r="D203" s="3" t="s">
        <v>410</v>
      </c>
      <c r="E203" s="2" t="s">
        <v>11</v>
      </c>
      <c r="F203" s="2" t="s">
        <v>363</v>
      </c>
      <c r="G203" s="2" t="s">
        <v>13</v>
      </c>
      <c r="H203" s="2" t="s">
        <v>364</v>
      </c>
      <c r="I203" s="5" t="str">
        <f>HYPERLINK("http://slimages.macys.com/is/image/MCY/16259947 ")</f>
        <v xml:space="preserve">http://slimages.macys.com/is/image/MCY/16259947 </v>
      </c>
    </row>
    <row r="204" spans="1:9" ht="53" x14ac:dyDescent="0.2">
      <c r="A204" s="2" t="s">
        <v>411</v>
      </c>
      <c r="B204" s="3">
        <v>1</v>
      </c>
      <c r="C204" s="4">
        <v>44</v>
      </c>
      <c r="D204" s="3" t="s">
        <v>412</v>
      </c>
      <c r="E204" s="2" t="s">
        <v>11</v>
      </c>
      <c r="F204" s="2" t="s">
        <v>12</v>
      </c>
      <c r="G204" s="2" t="s">
        <v>13</v>
      </c>
      <c r="H204" s="2" t="s">
        <v>408</v>
      </c>
      <c r="I204" s="5" t="str">
        <f>HYPERLINK("http://slimages.macys.com/is/image/MCY/16385449 ")</f>
        <v xml:space="preserve">http://slimages.macys.com/is/image/MCY/16385449 </v>
      </c>
    </row>
    <row r="205" spans="1:9" ht="53" x14ac:dyDescent="0.2">
      <c r="A205" s="2" t="s">
        <v>413</v>
      </c>
      <c r="B205" s="3">
        <v>1</v>
      </c>
      <c r="C205" s="4">
        <v>44.99</v>
      </c>
      <c r="D205" s="3" t="s">
        <v>414</v>
      </c>
      <c r="E205" s="2" t="s">
        <v>206</v>
      </c>
      <c r="F205" s="2" t="s">
        <v>86</v>
      </c>
      <c r="G205" s="2" t="s">
        <v>13</v>
      </c>
      <c r="H205" s="2" t="s">
        <v>405</v>
      </c>
      <c r="I205" s="5" t="str">
        <f>HYPERLINK("http://slimages.macys.com/is/image/MCY/11630787 ")</f>
        <v xml:space="preserve">http://slimages.macys.com/is/image/MCY/11630787 </v>
      </c>
    </row>
    <row r="206" spans="1:9" ht="53" x14ac:dyDescent="0.2">
      <c r="A206" s="2" t="s">
        <v>415</v>
      </c>
      <c r="B206" s="3">
        <v>1</v>
      </c>
      <c r="C206" s="4">
        <v>47</v>
      </c>
      <c r="D206" s="3" t="s">
        <v>416</v>
      </c>
      <c r="E206" s="2" t="s">
        <v>53</v>
      </c>
      <c r="F206" s="2" t="s">
        <v>363</v>
      </c>
      <c r="G206" s="2" t="s">
        <v>13</v>
      </c>
      <c r="H206" s="2" t="s">
        <v>364</v>
      </c>
      <c r="I206" s="5" t="str">
        <f>HYPERLINK("http://slimages.macys.com/is/image/MCY/16262825 ")</f>
        <v xml:space="preserve">http://slimages.macys.com/is/image/MCY/16262825 </v>
      </c>
    </row>
    <row r="207" spans="1:9" ht="53" x14ac:dyDescent="0.2">
      <c r="A207" s="2" t="s">
        <v>406</v>
      </c>
      <c r="B207" s="3">
        <v>1</v>
      </c>
      <c r="C207" s="4">
        <v>44</v>
      </c>
      <c r="D207" s="3" t="s">
        <v>407</v>
      </c>
      <c r="E207" s="2" t="s">
        <v>314</v>
      </c>
      <c r="F207" s="2" t="s">
        <v>12</v>
      </c>
      <c r="G207" s="2" t="s">
        <v>13</v>
      </c>
      <c r="H207" s="2" t="s">
        <v>408</v>
      </c>
      <c r="I207" s="5" t="str">
        <f>HYPERLINK("http://slimages.macys.com/is/image/MCY/16385449 ")</f>
        <v xml:space="preserve">http://slimages.macys.com/is/image/MCY/16385449 </v>
      </c>
    </row>
    <row r="208" spans="1:9" ht="53" x14ac:dyDescent="0.2">
      <c r="A208" s="2" t="s">
        <v>413</v>
      </c>
      <c r="B208" s="3">
        <v>1</v>
      </c>
      <c r="C208" s="4">
        <v>44.99</v>
      </c>
      <c r="D208" s="3" t="s">
        <v>414</v>
      </c>
      <c r="E208" s="2" t="s">
        <v>206</v>
      </c>
      <c r="F208" s="2" t="s">
        <v>86</v>
      </c>
      <c r="G208" s="2" t="s">
        <v>13</v>
      </c>
      <c r="H208" s="2" t="s">
        <v>405</v>
      </c>
      <c r="I208" s="5" t="str">
        <f>HYPERLINK("http://slimages.macys.com/is/image/MCY/11630787 ")</f>
        <v xml:space="preserve">http://slimages.macys.com/is/image/MCY/11630787 </v>
      </c>
    </row>
    <row r="209" spans="1:9" ht="53" x14ac:dyDescent="0.2">
      <c r="A209" s="2" t="s">
        <v>417</v>
      </c>
      <c r="B209" s="3">
        <v>1</v>
      </c>
      <c r="C209" s="4">
        <v>79.5</v>
      </c>
      <c r="D209" s="3">
        <v>79661548</v>
      </c>
      <c r="E209" s="2" t="s">
        <v>161</v>
      </c>
      <c r="F209" s="2" t="s">
        <v>210</v>
      </c>
      <c r="G209" s="2" t="s">
        <v>13</v>
      </c>
      <c r="H209" s="2" t="s">
        <v>378</v>
      </c>
      <c r="I209" s="5" t="str">
        <f>HYPERLINK("http://slimages.macys.com/is/image/MCY/8779367 ")</f>
        <v xml:space="preserve">http://slimages.macys.com/is/image/MCY/8779367 </v>
      </c>
    </row>
    <row r="210" spans="1:9" ht="66" x14ac:dyDescent="0.2">
      <c r="A210" s="2" t="s">
        <v>418</v>
      </c>
      <c r="B210" s="3">
        <v>1</v>
      </c>
      <c r="C210" s="4">
        <v>39.99</v>
      </c>
      <c r="D210" s="3" t="s">
        <v>419</v>
      </c>
      <c r="E210" s="2" t="s">
        <v>161</v>
      </c>
      <c r="F210" s="2" t="s">
        <v>397</v>
      </c>
      <c r="G210" s="2" t="s">
        <v>13</v>
      </c>
      <c r="H210" s="2" t="s">
        <v>360</v>
      </c>
      <c r="I210" s="5" t="str">
        <f>HYPERLINK("http://slimages.macys.com/is/image/MCY/15240497 ")</f>
        <v xml:space="preserve">http://slimages.macys.com/is/image/MCY/15240497 </v>
      </c>
    </row>
    <row r="211" spans="1:9" ht="53" x14ac:dyDescent="0.2">
      <c r="A211" s="2" t="s">
        <v>420</v>
      </c>
      <c r="B211" s="3">
        <v>1</v>
      </c>
      <c r="C211" s="4">
        <v>39.99</v>
      </c>
      <c r="D211" s="3">
        <v>346350002</v>
      </c>
      <c r="E211" s="2" t="s">
        <v>33</v>
      </c>
      <c r="F211" s="2" t="s">
        <v>179</v>
      </c>
      <c r="G211" s="2" t="s">
        <v>13</v>
      </c>
      <c r="H211" s="2" t="s">
        <v>145</v>
      </c>
      <c r="I211" s="5" t="str">
        <f>HYPERLINK("http://slimages.macys.com/is/image/MCY/8707905 ")</f>
        <v xml:space="preserve">http://slimages.macys.com/is/image/MCY/8707905 </v>
      </c>
    </row>
    <row r="212" spans="1:9" ht="53" x14ac:dyDescent="0.2">
      <c r="A212" s="2" t="s">
        <v>421</v>
      </c>
      <c r="B212" s="3">
        <v>1</v>
      </c>
      <c r="C212" s="4">
        <v>37.99</v>
      </c>
      <c r="D212" s="3">
        <v>3601610</v>
      </c>
      <c r="E212" s="2" t="s">
        <v>94</v>
      </c>
      <c r="F212" s="2" t="s">
        <v>422</v>
      </c>
      <c r="G212" s="2" t="s">
        <v>13</v>
      </c>
      <c r="H212" s="2" t="s">
        <v>98</v>
      </c>
      <c r="I212" s="5" t="str">
        <f>HYPERLINK("http://slimages.macys.com/is/image/MCY/14800169 ")</f>
        <v xml:space="preserve">http://slimages.macys.com/is/image/MCY/14800169 </v>
      </c>
    </row>
    <row r="213" spans="1:9" ht="53" x14ac:dyDescent="0.2">
      <c r="A213" s="2" t="s">
        <v>423</v>
      </c>
      <c r="B213" s="3">
        <v>1</v>
      </c>
      <c r="C213" s="4">
        <v>49.5</v>
      </c>
      <c r="D213" s="3">
        <v>100033772</v>
      </c>
      <c r="E213" s="2" t="s">
        <v>72</v>
      </c>
      <c r="F213" s="2" t="s">
        <v>210</v>
      </c>
      <c r="G213" s="2" t="s">
        <v>13</v>
      </c>
      <c r="H213" s="2" t="s">
        <v>112</v>
      </c>
      <c r="I213" s="5" t="str">
        <f>HYPERLINK("http://slimages.macys.com/is/image/MCY/10217036 ")</f>
        <v xml:space="preserve">http://slimages.macys.com/is/image/MCY/10217036 </v>
      </c>
    </row>
    <row r="214" spans="1:9" ht="53" x14ac:dyDescent="0.2">
      <c r="A214" s="2" t="s">
        <v>423</v>
      </c>
      <c r="B214" s="3">
        <v>1</v>
      </c>
      <c r="C214" s="4">
        <v>49.5</v>
      </c>
      <c r="D214" s="3">
        <v>100033772</v>
      </c>
      <c r="E214" s="2" t="s">
        <v>116</v>
      </c>
      <c r="F214" s="2" t="s">
        <v>210</v>
      </c>
      <c r="G214" s="2" t="s">
        <v>13</v>
      </c>
      <c r="H214" s="2" t="s">
        <v>112</v>
      </c>
      <c r="I214" s="5" t="str">
        <f>HYPERLINK("http://slimages.macys.com/is/image/MCY/10217036 ")</f>
        <v xml:space="preserve">http://slimages.macys.com/is/image/MCY/10217036 </v>
      </c>
    </row>
    <row r="215" spans="1:9" ht="53" x14ac:dyDescent="0.2">
      <c r="A215" s="2" t="s">
        <v>423</v>
      </c>
      <c r="B215" s="3">
        <v>2</v>
      </c>
      <c r="C215" s="4">
        <v>99</v>
      </c>
      <c r="D215" s="3">
        <v>100033772</v>
      </c>
      <c r="E215" s="2" t="s">
        <v>72</v>
      </c>
      <c r="F215" s="2" t="s">
        <v>210</v>
      </c>
      <c r="G215" s="2" t="s">
        <v>13</v>
      </c>
      <c r="H215" s="2" t="s">
        <v>112</v>
      </c>
      <c r="I215" s="5" t="str">
        <f>HYPERLINK("http://slimages.macys.com/is/image/MCY/10217036 ")</f>
        <v xml:space="preserve">http://slimages.macys.com/is/image/MCY/10217036 </v>
      </c>
    </row>
    <row r="216" spans="1:9" ht="53" x14ac:dyDescent="0.2">
      <c r="A216" s="2" t="s">
        <v>424</v>
      </c>
      <c r="B216" s="3">
        <v>1</v>
      </c>
      <c r="C216" s="4">
        <v>34.99</v>
      </c>
      <c r="D216" s="3">
        <v>328950007</v>
      </c>
      <c r="E216" s="2" t="s">
        <v>11</v>
      </c>
      <c r="F216" s="2" t="s">
        <v>179</v>
      </c>
      <c r="G216" s="2" t="s">
        <v>13</v>
      </c>
      <c r="H216" s="2" t="s">
        <v>145</v>
      </c>
      <c r="I216" s="5" t="str">
        <f>HYPERLINK("http://slimages.macys.com/is/image/MCY/9119653 ")</f>
        <v xml:space="preserve">http://slimages.macys.com/is/image/MCY/9119653 </v>
      </c>
    </row>
    <row r="217" spans="1:9" ht="66" x14ac:dyDescent="0.2">
      <c r="A217" s="2" t="s">
        <v>425</v>
      </c>
      <c r="B217" s="3">
        <v>2</v>
      </c>
      <c r="C217" s="4">
        <v>80</v>
      </c>
      <c r="D217" s="3" t="s">
        <v>426</v>
      </c>
      <c r="E217" s="2" t="s">
        <v>195</v>
      </c>
      <c r="F217" s="2" t="s">
        <v>110</v>
      </c>
      <c r="G217" s="2" t="s">
        <v>13</v>
      </c>
      <c r="H217" s="2" t="s">
        <v>155</v>
      </c>
      <c r="I217" s="5" t="str">
        <f>HYPERLINK("http://slimages.macys.com/is/image/MCY/15420418 ")</f>
        <v xml:space="preserve">http://slimages.macys.com/is/image/MCY/15420418 </v>
      </c>
    </row>
    <row r="218" spans="1:9" ht="53" x14ac:dyDescent="0.2">
      <c r="A218" s="2" t="s">
        <v>427</v>
      </c>
      <c r="B218" s="3">
        <v>1</v>
      </c>
      <c r="C218" s="4">
        <v>40</v>
      </c>
      <c r="D218" s="3" t="s">
        <v>428</v>
      </c>
      <c r="E218" s="2" t="s">
        <v>161</v>
      </c>
      <c r="F218" s="2" t="s">
        <v>429</v>
      </c>
      <c r="G218" s="2" t="s">
        <v>13</v>
      </c>
      <c r="H218" s="2" t="s">
        <v>98</v>
      </c>
      <c r="I218" s="5" t="str">
        <f>HYPERLINK("http://slimages.macys.com/is/image/MCY/14725904 ")</f>
        <v xml:space="preserve">http://slimages.macys.com/is/image/MCY/14725904 </v>
      </c>
    </row>
    <row r="219" spans="1:9" ht="53" x14ac:dyDescent="0.2">
      <c r="A219" s="2" t="s">
        <v>430</v>
      </c>
      <c r="B219" s="3">
        <v>1</v>
      </c>
      <c r="C219" s="4">
        <v>45</v>
      </c>
      <c r="D219" s="3" t="s">
        <v>431</v>
      </c>
      <c r="E219" s="2" t="s">
        <v>11</v>
      </c>
      <c r="F219" s="2" t="s">
        <v>429</v>
      </c>
      <c r="G219" s="2" t="s">
        <v>13</v>
      </c>
      <c r="H219" s="2" t="s">
        <v>302</v>
      </c>
      <c r="I219" s="5" t="str">
        <f>HYPERLINK("http://slimages.macys.com/is/image/MCY/14313322 ")</f>
        <v xml:space="preserve">http://slimages.macys.com/is/image/MCY/14313322 </v>
      </c>
    </row>
    <row r="220" spans="1:9" ht="53" x14ac:dyDescent="0.2">
      <c r="A220" s="2" t="s">
        <v>432</v>
      </c>
      <c r="B220" s="3">
        <v>1</v>
      </c>
      <c r="C220" s="4">
        <v>36.99</v>
      </c>
      <c r="D220" s="3" t="s">
        <v>433</v>
      </c>
      <c r="E220" s="2" t="s">
        <v>434</v>
      </c>
      <c r="F220" s="2" t="s">
        <v>435</v>
      </c>
      <c r="G220" s="2" t="s">
        <v>13</v>
      </c>
      <c r="H220" s="2" t="s">
        <v>145</v>
      </c>
      <c r="I220" s="5" t="str">
        <f>HYPERLINK("http://slimages.macys.com/is/image/MCY/15145810 ")</f>
        <v xml:space="preserve">http://slimages.macys.com/is/image/MCY/15145810 </v>
      </c>
    </row>
    <row r="221" spans="1:9" ht="53" x14ac:dyDescent="0.2">
      <c r="A221" s="2" t="s">
        <v>432</v>
      </c>
      <c r="B221" s="3">
        <v>1</v>
      </c>
      <c r="C221" s="4">
        <v>36.99</v>
      </c>
      <c r="D221" s="3" t="s">
        <v>436</v>
      </c>
      <c r="E221" s="2" t="s">
        <v>85</v>
      </c>
      <c r="F221" s="2" t="s">
        <v>435</v>
      </c>
      <c r="G221" s="2" t="s">
        <v>13</v>
      </c>
      <c r="H221" s="2" t="s">
        <v>145</v>
      </c>
      <c r="I221" s="5" t="str">
        <f>HYPERLINK("http://slimages.macys.com/is/image/MCY/15797564 ")</f>
        <v xml:space="preserve">http://slimages.macys.com/is/image/MCY/15797564 </v>
      </c>
    </row>
    <row r="222" spans="1:9" ht="53" x14ac:dyDescent="0.2">
      <c r="A222" s="2" t="s">
        <v>432</v>
      </c>
      <c r="B222" s="3">
        <v>2</v>
      </c>
      <c r="C222" s="4">
        <v>73.98</v>
      </c>
      <c r="D222" s="3" t="s">
        <v>436</v>
      </c>
      <c r="E222" s="2" t="s">
        <v>85</v>
      </c>
      <c r="F222" s="2" t="s">
        <v>435</v>
      </c>
      <c r="G222" s="2" t="s">
        <v>13</v>
      </c>
      <c r="H222" s="2" t="s">
        <v>145</v>
      </c>
      <c r="I222" s="5" t="str">
        <f>HYPERLINK("http://slimages.macys.com/is/image/MCY/15797564 ")</f>
        <v xml:space="preserve">http://slimages.macys.com/is/image/MCY/15797564 </v>
      </c>
    </row>
    <row r="223" spans="1:9" ht="53" x14ac:dyDescent="0.2">
      <c r="A223" s="2" t="s">
        <v>432</v>
      </c>
      <c r="B223" s="3">
        <v>1</v>
      </c>
      <c r="C223" s="4">
        <v>36.99</v>
      </c>
      <c r="D223" s="3" t="s">
        <v>436</v>
      </c>
      <c r="E223" s="2" t="s">
        <v>85</v>
      </c>
      <c r="F223" s="2" t="s">
        <v>435</v>
      </c>
      <c r="G223" s="2" t="s">
        <v>13</v>
      </c>
      <c r="H223" s="2" t="s">
        <v>145</v>
      </c>
      <c r="I223" s="5" t="str">
        <f>HYPERLINK("http://slimages.macys.com/is/image/MCY/15797564 ")</f>
        <v xml:space="preserve">http://slimages.macys.com/is/image/MCY/15797564 </v>
      </c>
    </row>
    <row r="224" spans="1:9" ht="53" x14ac:dyDescent="0.2">
      <c r="A224" s="2" t="s">
        <v>437</v>
      </c>
      <c r="B224" s="3">
        <v>1</v>
      </c>
      <c r="C224" s="4">
        <v>36.99</v>
      </c>
      <c r="D224" s="3" t="s">
        <v>438</v>
      </c>
      <c r="E224" s="2" t="s">
        <v>116</v>
      </c>
      <c r="F224" s="2" t="s">
        <v>435</v>
      </c>
      <c r="G224" s="2" t="s">
        <v>13</v>
      </c>
      <c r="H224" s="2" t="s">
        <v>145</v>
      </c>
      <c r="I224" s="5" t="str">
        <f>HYPERLINK("http://slimages.macys.com/is/image/MCY/15968374 ")</f>
        <v xml:space="preserve">http://slimages.macys.com/is/image/MCY/15968374 </v>
      </c>
    </row>
    <row r="225" spans="1:9" ht="53" x14ac:dyDescent="0.2">
      <c r="A225" s="2" t="s">
        <v>432</v>
      </c>
      <c r="B225" s="3">
        <v>2</v>
      </c>
      <c r="C225" s="4">
        <v>73.98</v>
      </c>
      <c r="D225" s="3" t="s">
        <v>436</v>
      </c>
      <c r="E225" s="2" t="s">
        <v>85</v>
      </c>
      <c r="F225" s="2" t="s">
        <v>435</v>
      </c>
      <c r="G225" s="2" t="s">
        <v>13</v>
      </c>
      <c r="H225" s="2" t="s">
        <v>145</v>
      </c>
      <c r="I225" s="5" t="str">
        <f>HYPERLINK("http://slimages.macys.com/is/image/MCY/15797564 ")</f>
        <v xml:space="preserve">http://slimages.macys.com/is/image/MCY/15797564 </v>
      </c>
    </row>
    <row r="226" spans="1:9" ht="53" x14ac:dyDescent="0.2">
      <c r="A226" s="2" t="s">
        <v>432</v>
      </c>
      <c r="B226" s="3">
        <v>2</v>
      </c>
      <c r="C226" s="4">
        <v>73.98</v>
      </c>
      <c r="D226" s="3" t="s">
        <v>436</v>
      </c>
      <c r="E226" s="2" t="s">
        <v>85</v>
      </c>
      <c r="F226" s="2" t="s">
        <v>435</v>
      </c>
      <c r="G226" s="2" t="s">
        <v>13</v>
      </c>
      <c r="H226" s="2" t="s">
        <v>145</v>
      </c>
      <c r="I226" s="5" t="str">
        <f>HYPERLINK("http://slimages.macys.com/is/image/MCY/15797564 ")</f>
        <v xml:space="preserve">http://slimages.macys.com/is/image/MCY/15797564 </v>
      </c>
    </row>
    <row r="227" spans="1:9" ht="53" x14ac:dyDescent="0.2">
      <c r="A227" s="2" t="s">
        <v>432</v>
      </c>
      <c r="B227" s="3">
        <v>1</v>
      </c>
      <c r="C227" s="4">
        <v>36.99</v>
      </c>
      <c r="D227" s="3" t="s">
        <v>436</v>
      </c>
      <c r="E227" s="2" t="s">
        <v>85</v>
      </c>
      <c r="F227" s="2" t="s">
        <v>435</v>
      </c>
      <c r="G227" s="2" t="s">
        <v>13</v>
      </c>
      <c r="H227" s="2" t="s">
        <v>145</v>
      </c>
      <c r="I227" s="5" t="str">
        <f>HYPERLINK("http://slimages.macys.com/is/image/MCY/15797564 ")</f>
        <v xml:space="preserve">http://slimages.macys.com/is/image/MCY/15797564 </v>
      </c>
    </row>
    <row r="228" spans="1:9" ht="53" x14ac:dyDescent="0.2">
      <c r="A228" s="2" t="s">
        <v>439</v>
      </c>
      <c r="B228" s="3">
        <v>1</v>
      </c>
      <c r="C228" s="4">
        <v>36.99</v>
      </c>
      <c r="D228" s="3" t="s">
        <v>440</v>
      </c>
      <c r="E228" s="2" t="s">
        <v>148</v>
      </c>
      <c r="F228" s="2" t="s">
        <v>435</v>
      </c>
      <c r="G228" s="2" t="s">
        <v>13</v>
      </c>
      <c r="H228" s="2" t="s">
        <v>145</v>
      </c>
      <c r="I228" s="5" t="str">
        <f>HYPERLINK("http://slimages.macys.com/is/image/MCY/14722493 ")</f>
        <v xml:space="preserve">http://slimages.macys.com/is/image/MCY/14722493 </v>
      </c>
    </row>
    <row r="229" spans="1:9" ht="53" x14ac:dyDescent="0.2">
      <c r="A229" s="2" t="s">
        <v>441</v>
      </c>
      <c r="B229" s="3">
        <v>2</v>
      </c>
      <c r="C229" s="4">
        <v>73.98</v>
      </c>
      <c r="D229" s="3" t="s">
        <v>442</v>
      </c>
      <c r="E229" s="2" t="s">
        <v>11</v>
      </c>
      <c r="F229" s="2" t="s">
        <v>435</v>
      </c>
      <c r="G229" s="2" t="s">
        <v>13</v>
      </c>
      <c r="H229" s="2" t="s">
        <v>145</v>
      </c>
      <c r="I229" s="5" t="str">
        <f>HYPERLINK("http://slimages.macys.com/is/image/MCY/16260935 ")</f>
        <v xml:space="preserve">http://slimages.macys.com/is/image/MCY/16260935 </v>
      </c>
    </row>
    <row r="230" spans="1:9" ht="53" x14ac:dyDescent="0.2">
      <c r="A230" s="2" t="s">
        <v>437</v>
      </c>
      <c r="B230" s="3">
        <v>1</v>
      </c>
      <c r="C230" s="4">
        <v>36.99</v>
      </c>
      <c r="D230" s="3" t="s">
        <v>438</v>
      </c>
      <c r="E230" s="2" t="s">
        <v>116</v>
      </c>
      <c r="F230" s="2" t="s">
        <v>435</v>
      </c>
      <c r="G230" s="2" t="s">
        <v>13</v>
      </c>
      <c r="H230" s="2" t="s">
        <v>145</v>
      </c>
      <c r="I230" s="5" t="str">
        <f>HYPERLINK("http://slimages.macys.com/is/image/MCY/15968374 ")</f>
        <v xml:space="preserve">http://slimages.macys.com/is/image/MCY/15968374 </v>
      </c>
    </row>
    <row r="231" spans="1:9" ht="53" x14ac:dyDescent="0.2">
      <c r="A231" s="2" t="s">
        <v>432</v>
      </c>
      <c r="B231" s="3">
        <v>1</v>
      </c>
      <c r="C231" s="4">
        <v>36.99</v>
      </c>
      <c r="D231" s="3" t="s">
        <v>433</v>
      </c>
      <c r="E231" s="2" t="s">
        <v>195</v>
      </c>
      <c r="F231" s="2" t="s">
        <v>435</v>
      </c>
      <c r="G231" s="2" t="s">
        <v>13</v>
      </c>
      <c r="H231" s="2" t="s">
        <v>145</v>
      </c>
      <c r="I231" s="5" t="str">
        <f>HYPERLINK("http://slimages.macys.com/is/image/MCY/14432806 ")</f>
        <v xml:space="preserve">http://slimages.macys.com/is/image/MCY/14432806 </v>
      </c>
    </row>
    <row r="232" spans="1:9" ht="53" x14ac:dyDescent="0.2">
      <c r="A232" s="2" t="s">
        <v>432</v>
      </c>
      <c r="B232" s="3">
        <v>1</v>
      </c>
      <c r="C232" s="4">
        <v>36.99</v>
      </c>
      <c r="D232" s="3" t="s">
        <v>433</v>
      </c>
      <c r="E232" s="2" t="s">
        <v>195</v>
      </c>
      <c r="F232" s="2" t="s">
        <v>435</v>
      </c>
      <c r="G232" s="2" t="s">
        <v>13</v>
      </c>
      <c r="H232" s="2" t="s">
        <v>145</v>
      </c>
      <c r="I232" s="5" t="str">
        <f>HYPERLINK("http://slimages.macys.com/is/image/MCY/14432806 ")</f>
        <v xml:space="preserve">http://slimages.macys.com/is/image/MCY/14432806 </v>
      </c>
    </row>
    <row r="233" spans="1:9" ht="53" x14ac:dyDescent="0.2">
      <c r="A233" s="2" t="s">
        <v>439</v>
      </c>
      <c r="B233" s="3">
        <v>1</v>
      </c>
      <c r="C233" s="4">
        <v>36.99</v>
      </c>
      <c r="D233" s="3" t="s">
        <v>436</v>
      </c>
      <c r="E233" s="2" t="s">
        <v>262</v>
      </c>
      <c r="F233" s="2" t="s">
        <v>435</v>
      </c>
      <c r="G233" s="2" t="s">
        <v>13</v>
      </c>
      <c r="H233" s="2" t="s">
        <v>145</v>
      </c>
      <c r="I233" s="5" t="str">
        <f>HYPERLINK("http://slimages.macys.com/is/image/MCY/15797564 ")</f>
        <v xml:space="preserve">http://slimages.macys.com/is/image/MCY/15797564 </v>
      </c>
    </row>
    <row r="234" spans="1:9" ht="53" x14ac:dyDescent="0.2">
      <c r="A234" s="2" t="s">
        <v>432</v>
      </c>
      <c r="B234" s="3">
        <v>1</v>
      </c>
      <c r="C234" s="4">
        <v>36.99</v>
      </c>
      <c r="D234" s="3" t="s">
        <v>433</v>
      </c>
      <c r="E234" s="2" t="s">
        <v>195</v>
      </c>
      <c r="F234" s="2" t="s">
        <v>435</v>
      </c>
      <c r="G234" s="2" t="s">
        <v>13</v>
      </c>
      <c r="H234" s="2" t="s">
        <v>145</v>
      </c>
      <c r="I234" s="5" t="str">
        <f>HYPERLINK("http://slimages.macys.com/is/image/MCY/14432806 ")</f>
        <v xml:space="preserve">http://slimages.macys.com/is/image/MCY/14432806 </v>
      </c>
    </row>
    <row r="235" spans="1:9" ht="53" x14ac:dyDescent="0.2">
      <c r="A235" s="2" t="s">
        <v>432</v>
      </c>
      <c r="B235" s="3">
        <v>1</v>
      </c>
      <c r="C235" s="4">
        <v>36.99</v>
      </c>
      <c r="D235" s="3" t="s">
        <v>433</v>
      </c>
      <c r="E235" s="2" t="s">
        <v>434</v>
      </c>
      <c r="F235" s="2" t="s">
        <v>435</v>
      </c>
      <c r="G235" s="2" t="s">
        <v>13</v>
      </c>
      <c r="H235" s="2" t="s">
        <v>145</v>
      </c>
      <c r="I235" s="5" t="str">
        <f>HYPERLINK("http://slimages.macys.com/is/image/MCY/15145810 ")</f>
        <v xml:space="preserve">http://slimages.macys.com/is/image/MCY/15145810 </v>
      </c>
    </row>
    <row r="236" spans="1:9" ht="53" x14ac:dyDescent="0.2">
      <c r="A236" s="2" t="s">
        <v>432</v>
      </c>
      <c r="B236" s="3">
        <v>1</v>
      </c>
      <c r="C236" s="4">
        <v>36.99</v>
      </c>
      <c r="D236" s="3" t="s">
        <v>433</v>
      </c>
      <c r="E236" s="2" t="s">
        <v>396</v>
      </c>
      <c r="F236" s="2" t="s">
        <v>435</v>
      </c>
      <c r="G236" s="2" t="s">
        <v>13</v>
      </c>
      <c r="H236" s="2" t="s">
        <v>145</v>
      </c>
      <c r="I236" s="5" t="str">
        <f>HYPERLINK("http://slimages.macys.com/is/image/MCY/14722435 ")</f>
        <v xml:space="preserve">http://slimages.macys.com/is/image/MCY/14722435 </v>
      </c>
    </row>
    <row r="237" spans="1:9" ht="53" x14ac:dyDescent="0.2">
      <c r="A237" s="2" t="s">
        <v>443</v>
      </c>
      <c r="B237" s="3">
        <v>1</v>
      </c>
      <c r="C237" s="4">
        <v>36.99</v>
      </c>
      <c r="D237" s="3" t="s">
        <v>444</v>
      </c>
      <c r="E237" s="2" t="s">
        <v>106</v>
      </c>
      <c r="F237" s="2" t="s">
        <v>435</v>
      </c>
      <c r="G237" s="2" t="s">
        <v>13</v>
      </c>
      <c r="H237" s="2" t="s">
        <v>145</v>
      </c>
      <c r="I237" s="5" t="str">
        <f>HYPERLINK("http://slimages.macys.com/is/image/MCY/11710505 ")</f>
        <v xml:space="preserve">http://slimages.macys.com/is/image/MCY/11710505 </v>
      </c>
    </row>
    <row r="238" spans="1:9" ht="53" x14ac:dyDescent="0.2">
      <c r="A238" s="2" t="s">
        <v>437</v>
      </c>
      <c r="B238" s="3">
        <v>1</v>
      </c>
      <c r="C238" s="4">
        <v>36.99</v>
      </c>
      <c r="D238" s="3" t="s">
        <v>438</v>
      </c>
      <c r="E238" s="2" t="s">
        <v>116</v>
      </c>
      <c r="F238" s="2" t="s">
        <v>435</v>
      </c>
      <c r="G238" s="2" t="s">
        <v>13</v>
      </c>
      <c r="H238" s="2" t="s">
        <v>145</v>
      </c>
      <c r="I238" s="5" t="str">
        <f>HYPERLINK("http://slimages.macys.com/is/image/MCY/15968374 ")</f>
        <v xml:space="preserve">http://slimages.macys.com/is/image/MCY/15968374 </v>
      </c>
    </row>
    <row r="239" spans="1:9" ht="53" x14ac:dyDescent="0.2">
      <c r="A239" s="2" t="s">
        <v>441</v>
      </c>
      <c r="B239" s="3">
        <v>5</v>
      </c>
      <c r="C239" s="4">
        <v>184.95</v>
      </c>
      <c r="D239" s="3" t="s">
        <v>445</v>
      </c>
      <c r="E239" s="2" t="s">
        <v>11</v>
      </c>
      <c r="F239" s="2" t="s">
        <v>435</v>
      </c>
      <c r="G239" s="2" t="s">
        <v>13</v>
      </c>
      <c r="H239" s="2" t="s">
        <v>145</v>
      </c>
      <c r="I239" s="5" t="str">
        <f>HYPERLINK("http://slimages.macys.com/is/image/MCY/16260743 ")</f>
        <v xml:space="preserve">http://slimages.macys.com/is/image/MCY/16260743 </v>
      </c>
    </row>
    <row r="240" spans="1:9" ht="53" x14ac:dyDescent="0.2">
      <c r="A240" s="2" t="s">
        <v>441</v>
      </c>
      <c r="B240" s="3">
        <v>1</v>
      </c>
      <c r="C240" s="4">
        <v>36.99</v>
      </c>
      <c r="D240" s="3" t="s">
        <v>445</v>
      </c>
      <c r="E240" s="2" t="s">
        <v>11</v>
      </c>
      <c r="F240" s="2" t="s">
        <v>435</v>
      </c>
      <c r="G240" s="2" t="s">
        <v>13</v>
      </c>
      <c r="H240" s="2" t="s">
        <v>145</v>
      </c>
      <c r="I240" s="5" t="str">
        <f>HYPERLINK("http://slimages.macys.com/is/image/MCY/16260743 ")</f>
        <v xml:space="preserve">http://slimages.macys.com/is/image/MCY/16260743 </v>
      </c>
    </row>
    <row r="241" spans="1:9" ht="53" x14ac:dyDescent="0.2">
      <c r="A241" s="2" t="s">
        <v>441</v>
      </c>
      <c r="B241" s="3">
        <v>2</v>
      </c>
      <c r="C241" s="4">
        <v>73.98</v>
      </c>
      <c r="D241" s="3" t="s">
        <v>445</v>
      </c>
      <c r="E241" s="2" t="s">
        <v>11</v>
      </c>
      <c r="F241" s="2" t="s">
        <v>435</v>
      </c>
      <c r="G241" s="2" t="s">
        <v>13</v>
      </c>
      <c r="H241" s="2" t="s">
        <v>145</v>
      </c>
      <c r="I241" s="5" t="str">
        <f>HYPERLINK("http://slimages.macys.com/is/image/MCY/16260743 ")</f>
        <v xml:space="preserve">http://slimages.macys.com/is/image/MCY/16260743 </v>
      </c>
    </row>
    <row r="242" spans="1:9" ht="53" x14ac:dyDescent="0.2">
      <c r="A242" s="2" t="s">
        <v>441</v>
      </c>
      <c r="B242" s="3">
        <v>1</v>
      </c>
      <c r="C242" s="4">
        <v>36.99</v>
      </c>
      <c r="D242" s="3" t="s">
        <v>442</v>
      </c>
      <c r="E242" s="2" t="s">
        <v>11</v>
      </c>
      <c r="F242" s="2" t="s">
        <v>435</v>
      </c>
      <c r="G242" s="2" t="s">
        <v>13</v>
      </c>
      <c r="H242" s="2" t="s">
        <v>145</v>
      </c>
      <c r="I242" s="5" t="str">
        <f>HYPERLINK("http://slimages.macys.com/is/image/MCY/16260935 ")</f>
        <v xml:space="preserve">http://slimages.macys.com/is/image/MCY/16260935 </v>
      </c>
    </row>
    <row r="243" spans="1:9" ht="53" x14ac:dyDescent="0.2">
      <c r="A243" s="2" t="s">
        <v>441</v>
      </c>
      <c r="B243" s="3">
        <v>3</v>
      </c>
      <c r="C243" s="4">
        <v>110.97</v>
      </c>
      <c r="D243" s="3" t="s">
        <v>445</v>
      </c>
      <c r="E243" s="2" t="s">
        <v>11</v>
      </c>
      <c r="F243" s="2" t="s">
        <v>435</v>
      </c>
      <c r="G243" s="2" t="s">
        <v>13</v>
      </c>
      <c r="H243" s="2" t="s">
        <v>145</v>
      </c>
      <c r="I243" s="5" t="str">
        <f>HYPERLINK("http://slimages.macys.com/is/image/MCY/16260743 ")</f>
        <v xml:space="preserve">http://slimages.macys.com/is/image/MCY/16260743 </v>
      </c>
    </row>
    <row r="244" spans="1:9" ht="53" x14ac:dyDescent="0.2">
      <c r="A244" s="2" t="s">
        <v>441</v>
      </c>
      <c r="B244" s="3">
        <v>2</v>
      </c>
      <c r="C244" s="4">
        <v>73.98</v>
      </c>
      <c r="D244" s="3" t="s">
        <v>445</v>
      </c>
      <c r="E244" s="2" t="s">
        <v>11</v>
      </c>
      <c r="F244" s="2" t="s">
        <v>435</v>
      </c>
      <c r="G244" s="2" t="s">
        <v>13</v>
      </c>
      <c r="H244" s="2" t="s">
        <v>145</v>
      </c>
      <c r="I244" s="5" t="str">
        <f>HYPERLINK("http://slimages.macys.com/is/image/MCY/16260743 ")</f>
        <v xml:space="preserve">http://slimages.macys.com/is/image/MCY/16260743 </v>
      </c>
    </row>
    <row r="245" spans="1:9" ht="53" x14ac:dyDescent="0.2">
      <c r="A245" s="2" t="s">
        <v>441</v>
      </c>
      <c r="B245" s="3">
        <v>1</v>
      </c>
      <c r="C245" s="4">
        <v>36.99</v>
      </c>
      <c r="D245" s="3" t="s">
        <v>445</v>
      </c>
      <c r="E245" s="2" t="s">
        <v>11</v>
      </c>
      <c r="F245" s="2" t="s">
        <v>435</v>
      </c>
      <c r="G245" s="2" t="s">
        <v>13</v>
      </c>
      <c r="H245" s="2" t="s">
        <v>145</v>
      </c>
      <c r="I245" s="5" t="str">
        <f>HYPERLINK("http://slimages.macys.com/is/image/MCY/16260743 ")</f>
        <v xml:space="preserve">http://slimages.macys.com/is/image/MCY/16260743 </v>
      </c>
    </row>
    <row r="246" spans="1:9" ht="53" x14ac:dyDescent="0.2">
      <c r="A246" s="2" t="s">
        <v>441</v>
      </c>
      <c r="B246" s="3">
        <v>1</v>
      </c>
      <c r="C246" s="4">
        <v>36.99</v>
      </c>
      <c r="D246" s="3" t="s">
        <v>445</v>
      </c>
      <c r="E246" s="2" t="s">
        <v>11</v>
      </c>
      <c r="F246" s="2" t="s">
        <v>435</v>
      </c>
      <c r="G246" s="2" t="s">
        <v>13</v>
      </c>
      <c r="H246" s="2" t="s">
        <v>145</v>
      </c>
      <c r="I246" s="5" t="str">
        <f>HYPERLINK("http://slimages.macys.com/is/image/MCY/16260743 ")</f>
        <v xml:space="preserve">http://slimages.macys.com/is/image/MCY/16260743 </v>
      </c>
    </row>
    <row r="247" spans="1:9" ht="53" x14ac:dyDescent="0.2">
      <c r="A247" s="2" t="s">
        <v>432</v>
      </c>
      <c r="B247" s="3">
        <v>2</v>
      </c>
      <c r="C247" s="4">
        <v>73.98</v>
      </c>
      <c r="D247" s="3" t="s">
        <v>433</v>
      </c>
      <c r="E247" s="2" t="s">
        <v>195</v>
      </c>
      <c r="F247" s="2" t="s">
        <v>435</v>
      </c>
      <c r="G247" s="2" t="s">
        <v>13</v>
      </c>
      <c r="H247" s="2" t="s">
        <v>145</v>
      </c>
      <c r="I247" s="5" t="str">
        <f>HYPERLINK("http://slimages.macys.com/is/image/MCY/14432806 ")</f>
        <v xml:space="preserve">http://slimages.macys.com/is/image/MCY/14432806 </v>
      </c>
    </row>
    <row r="248" spans="1:9" ht="53" x14ac:dyDescent="0.2">
      <c r="A248" s="2" t="s">
        <v>432</v>
      </c>
      <c r="B248" s="3">
        <v>1</v>
      </c>
      <c r="C248" s="4">
        <v>36.99</v>
      </c>
      <c r="D248" s="3" t="s">
        <v>446</v>
      </c>
      <c r="E248" s="2" t="s">
        <v>195</v>
      </c>
      <c r="F248" s="2" t="s">
        <v>435</v>
      </c>
      <c r="G248" s="2" t="s">
        <v>13</v>
      </c>
      <c r="H248" s="2" t="s">
        <v>145</v>
      </c>
      <c r="I248" s="5" t="str">
        <f>HYPERLINK("http://slimages.macys.com/is/image/MCY/14575371 ")</f>
        <v xml:space="preserve">http://slimages.macys.com/is/image/MCY/14575371 </v>
      </c>
    </row>
    <row r="249" spans="1:9" ht="53" x14ac:dyDescent="0.2">
      <c r="A249" s="2" t="s">
        <v>441</v>
      </c>
      <c r="B249" s="3">
        <v>3</v>
      </c>
      <c r="C249" s="4">
        <v>110.97</v>
      </c>
      <c r="D249" s="3" t="s">
        <v>442</v>
      </c>
      <c r="E249" s="2" t="s">
        <v>11</v>
      </c>
      <c r="F249" s="2" t="s">
        <v>435</v>
      </c>
      <c r="G249" s="2" t="s">
        <v>13</v>
      </c>
      <c r="H249" s="2" t="s">
        <v>145</v>
      </c>
      <c r="I249" s="5" t="str">
        <f>HYPERLINK("http://slimages.macys.com/is/image/MCY/16260935 ")</f>
        <v xml:space="preserve">http://slimages.macys.com/is/image/MCY/16260935 </v>
      </c>
    </row>
    <row r="250" spans="1:9" ht="53" x14ac:dyDescent="0.2">
      <c r="A250" s="2" t="s">
        <v>441</v>
      </c>
      <c r="B250" s="3">
        <v>1</v>
      </c>
      <c r="C250" s="4">
        <v>36.99</v>
      </c>
      <c r="D250" s="3" t="s">
        <v>442</v>
      </c>
      <c r="E250" s="2" t="s">
        <v>11</v>
      </c>
      <c r="F250" s="2" t="s">
        <v>435</v>
      </c>
      <c r="G250" s="2" t="s">
        <v>13</v>
      </c>
      <c r="H250" s="2" t="s">
        <v>145</v>
      </c>
      <c r="I250" s="5" t="str">
        <f>HYPERLINK("http://slimages.macys.com/is/image/MCY/16260935 ")</f>
        <v xml:space="preserve">http://slimages.macys.com/is/image/MCY/16260935 </v>
      </c>
    </row>
    <row r="251" spans="1:9" ht="53" x14ac:dyDescent="0.2">
      <c r="A251" s="2" t="s">
        <v>441</v>
      </c>
      <c r="B251" s="3">
        <v>2</v>
      </c>
      <c r="C251" s="4">
        <v>73.98</v>
      </c>
      <c r="D251" s="3" t="s">
        <v>442</v>
      </c>
      <c r="E251" s="2" t="s">
        <v>11</v>
      </c>
      <c r="F251" s="2" t="s">
        <v>435</v>
      </c>
      <c r="G251" s="2" t="s">
        <v>13</v>
      </c>
      <c r="H251" s="2" t="s">
        <v>145</v>
      </c>
      <c r="I251" s="5" t="str">
        <f>HYPERLINK("http://slimages.macys.com/is/image/MCY/16260935 ")</f>
        <v xml:space="preserve">http://slimages.macys.com/is/image/MCY/16260935 </v>
      </c>
    </row>
    <row r="252" spans="1:9" ht="53" x14ac:dyDescent="0.2">
      <c r="A252" s="2" t="s">
        <v>432</v>
      </c>
      <c r="B252" s="3">
        <v>1</v>
      </c>
      <c r="C252" s="4">
        <v>36.99</v>
      </c>
      <c r="D252" s="3" t="s">
        <v>433</v>
      </c>
      <c r="E252" s="2" t="s">
        <v>195</v>
      </c>
      <c r="F252" s="2" t="s">
        <v>435</v>
      </c>
      <c r="G252" s="2" t="s">
        <v>13</v>
      </c>
      <c r="H252" s="2" t="s">
        <v>145</v>
      </c>
      <c r="I252" s="5" t="str">
        <f>HYPERLINK("http://slimages.macys.com/is/image/MCY/14432806 ")</f>
        <v xml:space="preserve">http://slimages.macys.com/is/image/MCY/14432806 </v>
      </c>
    </row>
    <row r="253" spans="1:9" ht="53" x14ac:dyDescent="0.2">
      <c r="A253" s="2" t="s">
        <v>441</v>
      </c>
      <c r="B253" s="3">
        <v>1</v>
      </c>
      <c r="C253" s="4">
        <v>36.99</v>
      </c>
      <c r="D253" s="3" t="s">
        <v>442</v>
      </c>
      <c r="E253" s="2" t="s">
        <v>11</v>
      </c>
      <c r="F253" s="2" t="s">
        <v>435</v>
      </c>
      <c r="G253" s="2" t="s">
        <v>13</v>
      </c>
      <c r="H253" s="2" t="s">
        <v>145</v>
      </c>
      <c r="I253" s="5" t="str">
        <f>HYPERLINK("http://slimages.macys.com/is/image/MCY/16260935 ")</f>
        <v xml:space="preserve">http://slimages.macys.com/is/image/MCY/16260935 </v>
      </c>
    </row>
    <row r="254" spans="1:9" ht="53" x14ac:dyDescent="0.2">
      <c r="A254" s="2" t="s">
        <v>441</v>
      </c>
      <c r="B254" s="3">
        <v>2</v>
      </c>
      <c r="C254" s="4">
        <v>73.98</v>
      </c>
      <c r="D254" s="3" t="s">
        <v>442</v>
      </c>
      <c r="E254" s="2" t="s">
        <v>11</v>
      </c>
      <c r="F254" s="2" t="s">
        <v>435</v>
      </c>
      <c r="G254" s="2" t="s">
        <v>13</v>
      </c>
      <c r="H254" s="2" t="s">
        <v>145</v>
      </c>
      <c r="I254" s="5" t="str">
        <f>HYPERLINK("http://slimages.macys.com/is/image/MCY/16260935 ")</f>
        <v xml:space="preserve">http://slimages.macys.com/is/image/MCY/16260935 </v>
      </c>
    </row>
    <row r="255" spans="1:9" ht="53" x14ac:dyDescent="0.2">
      <c r="A255" s="2" t="s">
        <v>447</v>
      </c>
      <c r="B255" s="3">
        <v>2</v>
      </c>
      <c r="C255" s="4">
        <v>104</v>
      </c>
      <c r="D255" s="3">
        <v>100026307</v>
      </c>
      <c r="E255" s="2" t="s">
        <v>148</v>
      </c>
      <c r="F255" s="2" t="s">
        <v>429</v>
      </c>
      <c r="G255" s="2" t="s">
        <v>13</v>
      </c>
      <c r="H255" s="2" t="s">
        <v>378</v>
      </c>
      <c r="I255" s="5" t="str">
        <f>HYPERLINK("http://slimages.macys.com/is/image/MCY/9903239 ")</f>
        <v xml:space="preserve">http://slimages.macys.com/is/image/MCY/9903239 </v>
      </c>
    </row>
    <row r="256" spans="1:9" ht="53" x14ac:dyDescent="0.2">
      <c r="A256" s="2" t="s">
        <v>448</v>
      </c>
      <c r="B256" s="3">
        <v>1</v>
      </c>
      <c r="C256" s="4">
        <v>34.99</v>
      </c>
      <c r="D256" s="3">
        <v>100003865</v>
      </c>
      <c r="E256" s="2" t="s">
        <v>314</v>
      </c>
      <c r="F256" s="2" t="s">
        <v>449</v>
      </c>
      <c r="G256" s="2" t="s">
        <v>13</v>
      </c>
      <c r="H256" s="2" t="s">
        <v>112</v>
      </c>
      <c r="I256" s="5" t="str">
        <f>HYPERLINK("http://slimages.macys.com/is/image/MCY/8993523 ")</f>
        <v xml:space="preserve">http://slimages.macys.com/is/image/MCY/8993523 </v>
      </c>
    </row>
    <row r="257" spans="1:9" ht="53" x14ac:dyDescent="0.2">
      <c r="A257" s="2" t="s">
        <v>450</v>
      </c>
      <c r="B257" s="3">
        <v>1</v>
      </c>
      <c r="C257" s="4">
        <v>39</v>
      </c>
      <c r="D257" s="3" t="s">
        <v>451</v>
      </c>
      <c r="E257" s="2" t="s">
        <v>167</v>
      </c>
      <c r="F257" s="2" t="s">
        <v>301</v>
      </c>
      <c r="G257" s="2" t="s">
        <v>452</v>
      </c>
      <c r="H257" s="2" t="s">
        <v>98</v>
      </c>
      <c r="I257" s="5" t="str">
        <f>HYPERLINK("http://slimages.macys.com/is/image/MCY/11786717 ")</f>
        <v xml:space="preserve">http://slimages.macys.com/is/image/MCY/11786717 </v>
      </c>
    </row>
    <row r="258" spans="1:9" ht="53" x14ac:dyDescent="0.2">
      <c r="A258" s="2" t="s">
        <v>453</v>
      </c>
      <c r="B258" s="3">
        <v>1</v>
      </c>
      <c r="C258" s="4">
        <v>59.5</v>
      </c>
      <c r="D258" s="3">
        <v>100023079</v>
      </c>
      <c r="E258" s="2" t="s">
        <v>49</v>
      </c>
      <c r="F258" s="2" t="s">
        <v>210</v>
      </c>
      <c r="G258" s="2" t="s">
        <v>13</v>
      </c>
      <c r="H258" s="2" t="s">
        <v>112</v>
      </c>
      <c r="I258" s="5" t="str">
        <f>HYPERLINK("http://slimages.macys.com/is/image/MCY/10418668 ")</f>
        <v xml:space="preserve">http://slimages.macys.com/is/image/MCY/10418668 </v>
      </c>
    </row>
    <row r="259" spans="1:9" ht="53" x14ac:dyDescent="0.2">
      <c r="A259" s="2" t="s">
        <v>454</v>
      </c>
      <c r="B259" s="3">
        <v>1</v>
      </c>
      <c r="C259" s="4">
        <v>33</v>
      </c>
      <c r="D259" s="3" t="s">
        <v>455</v>
      </c>
      <c r="E259" s="2" t="s">
        <v>148</v>
      </c>
      <c r="F259" s="2" t="s">
        <v>456</v>
      </c>
      <c r="G259" s="2" t="s">
        <v>13</v>
      </c>
      <c r="H259" s="2" t="s">
        <v>112</v>
      </c>
      <c r="I259" s="5" t="str">
        <f>HYPERLINK("http://slimages.macys.com/is/image/MCY/14657224 ")</f>
        <v xml:space="preserve">http://slimages.macys.com/is/image/MCY/14657224 </v>
      </c>
    </row>
    <row r="260" spans="1:9" ht="53" x14ac:dyDescent="0.2">
      <c r="A260" s="2" t="s">
        <v>457</v>
      </c>
      <c r="B260" s="3">
        <v>1</v>
      </c>
      <c r="C260" s="4">
        <v>39</v>
      </c>
      <c r="D260" s="3" t="s">
        <v>458</v>
      </c>
      <c r="E260" s="2" t="s">
        <v>77</v>
      </c>
      <c r="F260" s="2" t="s">
        <v>301</v>
      </c>
      <c r="G260" s="2" t="s">
        <v>13</v>
      </c>
      <c r="H260" s="2" t="s">
        <v>98</v>
      </c>
      <c r="I260" s="5" t="str">
        <f>HYPERLINK("http://slimages.macys.com/is/image/MCY/14459114 ")</f>
        <v xml:space="preserve">http://slimages.macys.com/is/image/MCY/14459114 </v>
      </c>
    </row>
    <row r="261" spans="1:9" ht="53" x14ac:dyDescent="0.2">
      <c r="A261" s="2" t="s">
        <v>459</v>
      </c>
      <c r="B261" s="3">
        <v>1</v>
      </c>
      <c r="C261" s="4">
        <v>59.5</v>
      </c>
      <c r="D261" s="3">
        <v>100065389</v>
      </c>
      <c r="E261" s="2" t="s">
        <v>49</v>
      </c>
      <c r="F261" s="2" t="s">
        <v>210</v>
      </c>
      <c r="G261" s="2" t="s">
        <v>13</v>
      </c>
      <c r="H261" s="2" t="s">
        <v>98</v>
      </c>
      <c r="I261" s="5" t="str">
        <f>HYPERLINK("http://slimages.macys.com/is/image/MCY/14572580 ")</f>
        <v xml:space="preserve">http://slimages.macys.com/is/image/MCY/14572580 </v>
      </c>
    </row>
    <row r="262" spans="1:9" ht="53" x14ac:dyDescent="0.2">
      <c r="A262" s="2" t="s">
        <v>460</v>
      </c>
      <c r="B262" s="3">
        <v>1</v>
      </c>
      <c r="C262" s="4">
        <v>45</v>
      </c>
      <c r="D262" s="3" t="s">
        <v>461</v>
      </c>
      <c r="E262" s="2" t="s">
        <v>167</v>
      </c>
      <c r="F262" s="2" t="s">
        <v>429</v>
      </c>
      <c r="G262" s="2" t="s">
        <v>13</v>
      </c>
      <c r="H262" s="2" t="s">
        <v>112</v>
      </c>
      <c r="I262" s="5" t="str">
        <f>HYPERLINK("http://slimages.macys.com/is/image/MCY/14606560 ")</f>
        <v xml:space="preserve">http://slimages.macys.com/is/image/MCY/14606560 </v>
      </c>
    </row>
    <row r="263" spans="1:9" ht="53" x14ac:dyDescent="0.2">
      <c r="A263" s="2" t="s">
        <v>462</v>
      </c>
      <c r="B263" s="3">
        <v>1</v>
      </c>
      <c r="C263" s="4">
        <v>39.99</v>
      </c>
      <c r="D263" s="3" t="s">
        <v>463</v>
      </c>
      <c r="E263" s="2" t="s">
        <v>106</v>
      </c>
      <c r="F263" s="2" t="s">
        <v>449</v>
      </c>
      <c r="G263" s="2" t="s">
        <v>13</v>
      </c>
      <c r="H263" s="2" t="s">
        <v>112</v>
      </c>
      <c r="I263" s="5" t="str">
        <f>HYPERLINK("http://slimages.macys.com/is/image/MCY/14358584 ")</f>
        <v xml:space="preserve">http://slimages.macys.com/is/image/MCY/14358584 </v>
      </c>
    </row>
    <row r="264" spans="1:9" ht="53" x14ac:dyDescent="0.2">
      <c r="A264" s="2" t="s">
        <v>464</v>
      </c>
      <c r="B264" s="3">
        <v>1</v>
      </c>
      <c r="C264" s="4">
        <v>50</v>
      </c>
      <c r="D264" s="3" t="s">
        <v>465</v>
      </c>
      <c r="E264" s="2" t="s">
        <v>434</v>
      </c>
      <c r="F264" s="2" t="s">
        <v>466</v>
      </c>
      <c r="G264" s="2" t="s">
        <v>13</v>
      </c>
      <c r="H264" s="2" t="s">
        <v>35</v>
      </c>
      <c r="I264" s="5" t="str">
        <f>HYPERLINK("http://slimages.macys.com/is/image/MCY/11621770 ")</f>
        <v xml:space="preserve">http://slimages.macys.com/is/image/MCY/11621770 </v>
      </c>
    </row>
    <row r="265" spans="1:9" ht="53" x14ac:dyDescent="0.2">
      <c r="A265" s="2" t="s">
        <v>467</v>
      </c>
      <c r="B265" s="3">
        <v>1</v>
      </c>
      <c r="C265" s="4">
        <v>30</v>
      </c>
      <c r="D265" s="3" t="s">
        <v>468</v>
      </c>
      <c r="E265" s="2"/>
      <c r="F265" s="2" t="s">
        <v>291</v>
      </c>
      <c r="G265" s="2" t="s">
        <v>13</v>
      </c>
      <c r="H265" s="2" t="s">
        <v>98</v>
      </c>
      <c r="I265" s="5" t="str">
        <f>HYPERLINK("http://slimages.macys.com/is/image/MCY/14723992 ")</f>
        <v xml:space="preserve">http://slimages.macys.com/is/image/MCY/14723992 </v>
      </c>
    </row>
    <row r="266" spans="1:9" ht="53" x14ac:dyDescent="0.2">
      <c r="A266" s="2" t="s">
        <v>469</v>
      </c>
      <c r="B266" s="3">
        <v>1</v>
      </c>
      <c r="C266" s="4">
        <v>28</v>
      </c>
      <c r="D266" s="3">
        <v>838093</v>
      </c>
      <c r="E266" s="2" t="s">
        <v>167</v>
      </c>
      <c r="F266" s="2" t="s">
        <v>54</v>
      </c>
      <c r="G266" s="2" t="s">
        <v>13</v>
      </c>
      <c r="H266" s="2" t="s">
        <v>315</v>
      </c>
      <c r="I266" s="5" t="str">
        <f>HYPERLINK("http://slimages.macys.com/is/image/MCY/8849631 ")</f>
        <v xml:space="preserve">http://slimages.macys.com/is/image/MCY/8849631 </v>
      </c>
    </row>
    <row r="267" spans="1:9" ht="53" x14ac:dyDescent="0.2">
      <c r="A267" s="2" t="s">
        <v>470</v>
      </c>
      <c r="B267" s="3">
        <v>1</v>
      </c>
      <c r="C267" s="4">
        <v>69.5</v>
      </c>
      <c r="D267" s="3">
        <v>100063583</v>
      </c>
      <c r="E267" s="2" t="s">
        <v>33</v>
      </c>
      <c r="F267" s="2" t="s">
        <v>210</v>
      </c>
      <c r="G267" s="2" t="s">
        <v>13</v>
      </c>
      <c r="H267" s="2" t="s">
        <v>471</v>
      </c>
      <c r="I267" s="5" t="str">
        <f>HYPERLINK("http://slimages.macys.com/is/image/MCY/14807330 ")</f>
        <v xml:space="preserve">http://slimages.macys.com/is/image/MCY/14807330 </v>
      </c>
    </row>
    <row r="268" spans="1:9" ht="53" x14ac:dyDescent="0.2">
      <c r="A268" s="2" t="s">
        <v>472</v>
      </c>
      <c r="B268" s="3">
        <v>1</v>
      </c>
      <c r="C268" s="4">
        <v>42.99</v>
      </c>
      <c r="D268" s="3" t="s">
        <v>473</v>
      </c>
      <c r="E268" s="2" t="s">
        <v>33</v>
      </c>
      <c r="F268" s="2" t="s">
        <v>449</v>
      </c>
      <c r="G268" s="2" t="s">
        <v>13</v>
      </c>
      <c r="H268" s="2" t="s">
        <v>474</v>
      </c>
      <c r="I268" s="5" t="str">
        <f>HYPERLINK("http://slimages.macys.com/is/image/MCY/8759351 ")</f>
        <v xml:space="preserve">http://slimages.macys.com/is/image/MCY/8759351 </v>
      </c>
    </row>
    <row r="269" spans="1:9" ht="66" x14ac:dyDescent="0.2">
      <c r="A269" s="2" t="s">
        <v>475</v>
      </c>
      <c r="B269" s="3">
        <v>1</v>
      </c>
      <c r="C269" s="4">
        <v>33.99</v>
      </c>
      <c r="D269" s="3" t="s">
        <v>476</v>
      </c>
      <c r="E269" s="2" t="s">
        <v>17</v>
      </c>
      <c r="F269" s="2" t="s">
        <v>397</v>
      </c>
      <c r="G269" s="2" t="s">
        <v>13</v>
      </c>
      <c r="H269" s="2" t="s">
        <v>112</v>
      </c>
      <c r="I269" s="5" t="str">
        <f>HYPERLINK("http://slimages.macys.com/is/image/MCY/15180065 ")</f>
        <v xml:space="preserve">http://slimages.macys.com/is/image/MCY/15180065 </v>
      </c>
    </row>
    <row r="270" spans="1:9" ht="53" x14ac:dyDescent="0.2">
      <c r="A270" s="2" t="s">
        <v>477</v>
      </c>
      <c r="B270" s="3">
        <v>1</v>
      </c>
      <c r="C270" s="4">
        <v>34</v>
      </c>
      <c r="D270" s="3" t="s">
        <v>478</v>
      </c>
      <c r="E270" s="2" t="s">
        <v>167</v>
      </c>
      <c r="F270" s="2" t="s">
        <v>479</v>
      </c>
      <c r="G270" s="2" t="s">
        <v>13</v>
      </c>
      <c r="H270" s="2" t="s">
        <v>98</v>
      </c>
      <c r="I270" s="5" t="str">
        <f>HYPERLINK("http://slimages.macys.com/is/image/MCY/9824395 ")</f>
        <v xml:space="preserve">http://slimages.macys.com/is/image/MCY/9824395 </v>
      </c>
    </row>
    <row r="271" spans="1:9" ht="53" x14ac:dyDescent="0.2">
      <c r="A271" s="2" t="s">
        <v>480</v>
      </c>
      <c r="B271" s="3">
        <v>1</v>
      </c>
      <c r="C271" s="4">
        <v>69.5</v>
      </c>
      <c r="D271" s="3">
        <v>100033179</v>
      </c>
      <c r="E271" s="2" t="s">
        <v>33</v>
      </c>
      <c r="F271" s="2" t="s">
        <v>210</v>
      </c>
      <c r="G271" s="2" t="s">
        <v>13</v>
      </c>
      <c r="H271" s="2" t="s">
        <v>481</v>
      </c>
      <c r="I271" s="5" t="str">
        <f>HYPERLINK("http://slimages.macys.com/is/image/MCY/9916263 ")</f>
        <v xml:space="preserve">http://slimages.macys.com/is/image/MCY/9916263 </v>
      </c>
    </row>
    <row r="272" spans="1:9" ht="53" x14ac:dyDescent="0.2">
      <c r="A272" s="2" t="s">
        <v>482</v>
      </c>
      <c r="B272" s="3">
        <v>1</v>
      </c>
      <c r="C272" s="4">
        <v>65</v>
      </c>
      <c r="D272" s="3">
        <v>100082392</v>
      </c>
      <c r="E272" s="2" t="s">
        <v>106</v>
      </c>
      <c r="F272" s="2" t="s">
        <v>210</v>
      </c>
      <c r="G272" s="2" t="s">
        <v>13</v>
      </c>
      <c r="H272" s="2" t="s">
        <v>483</v>
      </c>
      <c r="I272" s="5" t="str">
        <f>HYPERLINK("http://slimages.macys.com/is/image/MCY/15862234 ")</f>
        <v xml:space="preserve">http://slimages.macys.com/is/image/MCY/15862234 </v>
      </c>
    </row>
    <row r="273" spans="1:9" ht="53" x14ac:dyDescent="0.2">
      <c r="A273" s="2" t="s">
        <v>484</v>
      </c>
      <c r="B273" s="3">
        <v>1</v>
      </c>
      <c r="C273" s="4">
        <v>40</v>
      </c>
      <c r="D273" s="3" t="s">
        <v>485</v>
      </c>
      <c r="E273" s="2" t="s">
        <v>318</v>
      </c>
      <c r="F273" s="2" t="s">
        <v>429</v>
      </c>
      <c r="G273" s="2" t="s">
        <v>13</v>
      </c>
      <c r="H273" s="2" t="s">
        <v>112</v>
      </c>
      <c r="I273" s="5" t="str">
        <f>HYPERLINK("http://slimages.macys.com/is/image/MCY/14725940 ")</f>
        <v xml:space="preserve">http://slimages.macys.com/is/image/MCY/14725940 </v>
      </c>
    </row>
    <row r="274" spans="1:9" ht="53" x14ac:dyDescent="0.2">
      <c r="A274" s="2" t="s">
        <v>486</v>
      </c>
      <c r="B274" s="3">
        <v>1</v>
      </c>
      <c r="C274" s="4">
        <v>34</v>
      </c>
      <c r="D274" s="3" t="s">
        <v>487</v>
      </c>
      <c r="E274" s="2" t="s">
        <v>330</v>
      </c>
      <c r="F274" s="2" t="s">
        <v>479</v>
      </c>
      <c r="G274" s="2" t="s">
        <v>13</v>
      </c>
      <c r="H274" s="2" t="s">
        <v>302</v>
      </c>
      <c r="I274" s="5" t="str">
        <f>HYPERLINK("http://slimages.macys.com/is/image/MCY/11633511 ")</f>
        <v xml:space="preserve">http://slimages.macys.com/is/image/MCY/11633511 </v>
      </c>
    </row>
    <row r="275" spans="1:9" ht="53" x14ac:dyDescent="0.2">
      <c r="A275" s="2" t="s">
        <v>488</v>
      </c>
      <c r="B275" s="3">
        <v>1</v>
      </c>
      <c r="C275" s="4">
        <v>37.99</v>
      </c>
      <c r="D275" s="3" t="s">
        <v>489</v>
      </c>
      <c r="E275" s="2" t="s">
        <v>49</v>
      </c>
      <c r="F275" s="2" t="s">
        <v>490</v>
      </c>
      <c r="G275" s="2" t="s">
        <v>13</v>
      </c>
      <c r="H275" s="2" t="s">
        <v>112</v>
      </c>
      <c r="I275" s="5" t="str">
        <f>HYPERLINK("http://slimages.macys.com/is/image/MCY/14424362 ")</f>
        <v xml:space="preserve">http://slimages.macys.com/is/image/MCY/14424362 </v>
      </c>
    </row>
    <row r="276" spans="1:9" ht="53" x14ac:dyDescent="0.2">
      <c r="A276" s="2" t="s">
        <v>491</v>
      </c>
      <c r="B276" s="3">
        <v>1</v>
      </c>
      <c r="C276" s="4">
        <v>69.5</v>
      </c>
      <c r="D276" s="3">
        <v>100029707</v>
      </c>
      <c r="E276" s="2" t="s">
        <v>85</v>
      </c>
      <c r="F276" s="2" t="s">
        <v>492</v>
      </c>
      <c r="G276" s="2" t="s">
        <v>13</v>
      </c>
      <c r="H276" s="2" t="s">
        <v>481</v>
      </c>
      <c r="I276" s="5" t="str">
        <f>HYPERLINK("http://slimages.macys.com/is/image/MCY/9916325 ")</f>
        <v xml:space="preserve">http://slimages.macys.com/is/image/MCY/9916325 </v>
      </c>
    </row>
    <row r="277" spans="1:9" ht="53" x14ac:dyDescent="0.2">
      <c r="A277" s="2" t="s">
        <v>493</v>
      </c>
      <c r="B277" s="3">
        <v>1</v>
      </c>
      <c r="C277" s="4">
        <v>69.5</v>
      </c>
      <c r="D277" s="3" t="s">
        <v>494</v>
      </c>
      <c r="E277" s="2" t="s">
        <v>85</v>
      </c>
      <c r="F277" s="2" t="s">
        <v>492</v>
      </c>
      <c r="G277" s="2" t="s">
        <v>13</v>
      </c>
      <c r="H277" s="2" t="s">
        <v>302</v>
      </c>
      <c r="I277" s="5" t="str">
        <f>HYPERLINK("http://slimages.macys.com/is/image/MCY/3381343 ")</f>
        <v xml:space="preserve">http://slimages.macys.com/is/image/MCY/3381343 </v>
      </c>
    </row>
    <row r="278" spans="1:9" ht="53" x14ac:dyDescent="0.2">
      <c r="A278" s="2" t="s">
        <v>493</v>
      </c>
      <c r="B278" s="3">
        <v>1</v>
      </c>
      <c r="C278" s="4">
        <v>69.5</v>
      </c>
      <c r="D278" s="3" t="s">
        <v>494</v>
      </c>
      <c r="E278" s="2" t="s">
        <v>85</v>
      </c>
      <c r="F278" s="2" t="s">
        <v>492</v>
      </c>
      <c r="G278" s="2" t="s">
        <v>13</v>
      </c>
      <c r="H278" s="2" t="s">
        <v>302</v>
      </c>
      <c r="I278" s="5" t="str">
        <f>HYPERLINK("http://slimages.macys.com/is/image/MCY/3381343 ")</f>
        <v xml:space="preserve">http://slimages.macys.com/is/image/MCY/3381343 </v>
      </c>
    </row>
    <row r="279" spans="1:9" ht="53" x14ac:dyDescent="0.2">
      <c r="A279" s="2" t="s">
        <v>495</v>
      </c>
      <c r="B279" s="3">
        <v>1</v>
      </c>
      <c r="C279" s="4">
        <v>35</v>
      </c>
      <c r="D279" s="3" t="s">
        <v>496</v>
      </c>
      <c r="E279" s="2" t="s">
        <v>178</v>
      </c>
      <c r="F279" s="2" t="s">
        <v>34</v>
      </c>
      <c r="G279" s="2" t="s">
        <v>13</v>
      </c>
      <c r="H279" s="2" t="s">
        <v>360</v>
      </c>
      <c r="I279" s="5" t="str">
        <f>HYPERLINK("http://slimages.macys.com/is/image/MCY/10093283 ")</f>
        <v xml:space="preserve">http://slimages.macys.com/is/image/MCY/10093283 </v>
      </c>
    </row>
    <row r="280" spans="1:9" ht="196" x14ac:dyDescent="0.2">
      <c r="A280" s="2" t="s">
        <v>497</v>
      </c>
      <c r="B280" s="3">
        <v>1</v>
      </c>
      <c r="C280" s="4">
        <v>10.08</v>
      </c>
      <c r="D280" s="3" t="s">
        <v>498</v>
      </c>
      <c r="E280" s="2" t="s">
        <v>33</v>
      </c>
      <c r="F280" s="2" t="s">
        <v>499</v>
      </c>
      <c r="G280" s="2" t="s">
        <v>13</v>
      </c>
      <c r="H280" s="2" t="s">
        <v>500</v>
      </c>
      <c r="I280" s="5" t="str">
        <f>HYPERLINK("http://slimages.macys.com/is/image/MCY/9988261 ")</f>
        <v xml:space="preserve">http://slimages.macys.com/is/image/MCY/9988261 </v>
      </c>
    </row>
    <row r="281" spans="1:9" ht="53" x14ac:dyDescent="0.2">
      <c r="A281" s="2" t="s">
        <v>501</v>
      </c>
      <c r="B281" s="3">
        <v>1</v>
      </c>
      <c r="C281" s="4">
        <v>29.99</v>
      </c>
      <c r="D281" s="3" t="s">
        <v>502</v>
      </c>
      <c r="E281" s="2" t="s">
        <v>33</v>
      </c>
      <c r="F281" s="2" t="s">
        <v>503</v>
      </c>
      <c r="G281" s="2" t="s">
        <v>13</v>
      </c>
      <c r="H281" s="2" t="s">
        <v>35</v>
      </c>
      <c r="I281" s="5" t="str">
        <f>HYPERLINK("http://slimages.macys.com/is/image/MCY/10081597 ")</f>
        <v xml:space="preserve">http://slimages.macys.com/is/image/MCY/10081597 </v>
      </c>
    </row>
    <row r="282" spans="1:9" ht="53" x14ac:dyDescent="0.2">
      <c r="A282" s="2" t="s">
        <v>504</v>
      </c>
      <c r="B282" s="3">
        <v>1</v>
      </c>
      <c r="C282" s="4">
        <v>45</v>
      </c>
      <c r="D282" s="3" t="s">
        <v>505</v>
      </c>
      <c r="E282" s="2" t="s">
        <v>17</v>
      </c>
      <c r="F282" s="2" t="s">
        <v>429</v>
      </c>
      <c r="G282" s="2" t="s">
        <v>13</v>
      </c>
      <c r="H282" s="2" t="s">
        <v>98</v>
      </c>
      <c r="I282" s="5" t="str">
        <f>HYPERLINK("http://slimages.macys.com/is/image/MCY/14313121 ")</f>
        <v xml:space="preserve">http://slimages.macys.com/is/image/MCY/14313121 </v>
      </c>
    </row>
    <row r="283" spans="1:9" ht="53" x14ac:dyDescent="0.2">
      <c r="A283" s="2" t="s">
        <v>506</v>
      </c>
      <c r="B283" s="3">
        <v>1</v>
      </c>
      <c r="C283" s="4">
        <v>39.99</v>
      </c>
      <c r="D283" s="3" t="s">
        <v>507</v>
      </c>
      <c r="E283" s="2" t="s">
        <v>33</v>
      </c>
      <c r="F283" s="2" t="s">
        <v>490</v>
      </c>
      <c r="G283" s="2" t="s">
        <v>13</v>
      </c>
      <c r="H283" s="2" t="s">
        <v>508</v>
      </c>
      <c r="I283" s="5" t="str">
        <f>HYPERLINK("http://slimages.macys.com/is/image/MCY/14795932 ")</f>
        <v xml:space="preserve">http://slimages.macys.com/is/image/MCY/14795932 </v>
      </c>
    </row>
    <row r="284" spans="1:9" ht="53" x14ac:dyDescent="0.2">
      <c r="A284" s="2" t="s">
        <v>509</v>
      </c>
      <c r="B284" s="3">
        <v>1</v>
      </c>
      <c r="C284" s="4">
        <v>39.99</v>
      </c>
      <c r="D284" s="3" t="s">
        <v>510</v>
      </c>
      <c r="E284" s="2" t="s">
        <v>33</v>
      </c>
      <c r="F284" s="2" t="s">
        <v>490</v>
      </c>
      <c r="G284" s="2" t="s">
        <v>13</v>
      </c>
      <c r="H284" s="2" t="s">
        <v>315</v>
      </c>
      <c r="I284" s="5" t="str">
        <f>HYPERLINK("http://slimages.macys.com/is/image/MCY/15160475 ")</f>
        <v xml:space="preserve">http://slimages.macys.com/is/image/MCY/15160475 </v>
      </c>
    </row>
    <row r="285" spans="1:9" ht="53" x14ac:dyDescent="0.2">
      <c r="A285" s="2" t="s">
        <v>509</v>
      </c>
      <c r="B285" s="3">
        <v>1</v>
      </c>
      <c r="C285" s="4">
        <v>39.99</v>
      </c>
      <c r="D285" s="3" t="s">
        <v>510</v>
      </c>
      <c r="E285" s="2" t="s">
        <v>11</v>
      </c>
      <c r="F285" s="2" t="s">
        <v>490</v>
      </c>
      <c r="G285" s="2" t="s">
        <v>13</v>
      </c>
      <c r="H285" s="2" t="s">
        <v>315</v>
      </c>
      <c r="I285" s="5" t="str">
        <f>HYPERLINK("http://slimages.macys.com/is/image/MCY/15160475 ")</f>
        <v xml:space="preserve">http://slimages.macys.com/is/image/MCY/15160475 </v>
      </c>
    </row>
    <row r="286" spans="1:9" ht="53" x14ac:dyDescent="0.2">
      <c r="A286" s="2" t="s">
        <v>511</v>
      </c>
      <c r="B286" s="3">
        <v>2</v>
      </c>
      <c r="C286" s="4">
        <v>89.98</v>
      </c>
      <c r="D286" s="3" t="s">
        <v>512</v>
      </c>
      <c r="E286" s="2" t="s">
        <v>77</v>
      </c>
      <c r="F286" s="2" t="s">
        <v>513</v>
      </c>
      <c r="G286" s="2" t="s">
        <v>13</v>
      </c>
      <c r="H286" s="2" t="s">
        <v>514</v>
      </c>
      <c r="I286" s="5" t="str">
        <f>HYPERLINK("http://slimages.macys.com/is/image/MCY/15932437 ")</f>
        <v xml:space="preserve">http://slimages.macys.com/is/image/MCY/15932437 </v>
      </c>
    </row>
    <row r="287" spans="1:9" ht="66" x14ac:dyDescent="0.2">
      <c r="A287" s="2" t="s">
        <v>515</v>
      </c>
      <c r="B287" s="3">
        <v>1</v>
      </c>
      <c r="C287" s="4">
        <v>26</v>
      </c>
      <c r="D287" s="3" t="s">
        <v>516</v>
      </c>
      <c r="E287" s="2" t="s">
        <v>517</v>
      </c>
      <c r="F287" s="2" t="s">
        <v>90</v>
      </c>
      <c r="G287" s="2" t="s">
        <v>13</v>
      </c>
      <c r="H287" s="2" t="s">
        <v>518</v>
      </c>
      <c r="I287" s="5" t="str">
        <f>HYPERLINK("http://slimages.macys.com/is/image/MCY/13958468 ")</f>
        <v xml:space="preserve">http://slimages.macys.com/is/image/MCY/13958468 </v>
      </c>
    </row>
    <row r="288" spans="1:9" ht="53" x14ac:dyDescent="0.2">
      <c r="A288" s="2" t="s">
        <v>519</v>
      </c>
      <c r="B288" s="3">
        <v>1</v>
      </c>
      <c r="C288" s="4">
        <v>55.65</v>
      </c>
      <c r="D288" s="3" t="s">
        <v>520</v>
      </c>
      <c r="E288" s="2" t="s">
        <v>33</v>
      </c>
      <c r="F288" s="2" t="s">
        <v>521</v>
      </c>
      <c r="G288" s="2" t="s">
        <v>13</v>
      </c>
      <c r="H288" s="2" t="s">
        <v>315</v>
      </c>
      <c r="I288" s="5" t="str">
        <f>HYPERLINK("http://slimages.macys.com/is/image/MCY/14887829 ")</f>
        <v xml:space="preserve">http://slimages.macys.com/is/image/MCY/14887829 </v>
      </c>
    </row>
    <row r="289" spans="1:9" ht="53" x14ac:dyDescent="0.2">
      <c r="A289" s="2" t="s">
        <v>522</v>
      </c>
      <c r="B289" s="3">
        <v>1</v>
      </c>
      <c r="C289" s="4">
        <v>42.99</v>
      </c>
      <c r="D289" s="3" t="s">
        <v>523</v>
      </c>
      <c r="E289" s="2" t="s">
        <v>33</v>
      </c>
      <c r="F289" s="2" t="s">
        <v>449</v>
      </c>
      <c r="G289" s="2" t="s">
        <v>13</v>
      </c>
      <c r="H289" s="2" t="s">
        <v>474</v>
      </c>
      <c r="I289" s="5" t="str">
        <f>HYPERLINK("http://slimages.macys.com/is/image/MCY/10150497 ")</f>
        <v xml:space="preserve">http://slimages.macys.com/is/image/MCY/10150497 </v>
      </c>
    </row>
    <row r="290" spans="1:9" ht="53" x14ac:dyDescent="0.2">
      <c r="A290" s="2" t="s">
        <v>524</v>
      </c>
      <c r="B290" s="3">
        <v>1</v>
      </c>
      <c r="C290" s="4">
        <v>42.99</v>
      </c>
      <c r="D290" s="3" t="s">
        <v>525</v>
      </c>
      <c r="E290" s="2" t="s">
        <v>307</v>
      </c>
      <c r="F290" s="2" t="s">
        <v>449</v>
      </c>
      <c r="G290" s="2" t="s">
        <v>13</v>
      </c>
      <c r="H290" s="2" t="s">
        <v>474</v>
      </c>
      <c r="I290" s="5" t="str">
        <f>HYPERLINK("http://slimages.macys.com/is/image/MCY/14362124 ")</f>
        <v xml:space="preserve">http://slimages.macys.com/is/image/MCY/14362124 </v>
      </c>
    </row>
    <row r="291" spans="1:9" ht="66" x14ac:dyDescent="0.2">
      <c r="A291" s="2" t="s">
        <v>526</v>
      </c>
      <c r="B291" s="3">
        <v>5</v>
      </c>
      <c r="C291" s="4">
        <v>96.25</v>
      </c>
      <c r="D291" s="3" t="s">
        <v>527</v>
      </c>
      <c r="E291" s="2" t="s">
        <v>33</v>
      </c>
      <c r="F291" s="2" t="s">
        <v>528</v>
      </c>
      <c r="G291" s="2" t="s">
        <v>13</v>
      </c>
      <c r="H291" s="2" t="s">
        <v>360</v>
      </c>
      <c r="I291" s="5" t="str">
        <f>HYPERLINK("http://slimages.macys.com/is/image/MCY/10435586 ")</f>
        <v xml:space="preserve">http://slimages.macys.com/is/image/MCY/10435586 </v>
      </c>
    </row>
    <row r="292" spans="1:9" ht="53" x14ac:dyDescent="0.2">
      <c r="A292" s="2" t="s">
        <v>529</v>
      </c>
      <c r="B292" s="3">
        <v>1</v>
      </c>
      <c r="C292" s="4">
        <v>30</v>
      </c>
      <c r="D292" s="3" t="s">
        <v>530</v>
      </c>
      <c r="E292" s="2" t="s">
        <v>531</v>
      </c>
      <c r="F292" s="2" t="s">
        <v>532</v>
      </c>
      <c r="G292" s="2" t="s">
        <v>13</v>
      </c>
      <c r="H292" s="2" t="s">
        <v>533</v>
      </c>
      <c r="I292" s="5" t="str">
        <f>HYPERLINK("http://slimages.macys.com/is/image/MCY/9760209 ")</f>
        <v xml:space="preserve">http://slimages.macys.com/is/image/MCY/9760209 </v>
      </c>
    </row>
    <row r="293" spans="1:9" ht="53" x14ac:dyDescent="0.2">
      <c r="A293" s="2" t="s">
        <v>534</v>
      </c>
      <c r="B293" s="3">
        <v>1</v>
      </c>
      <c r="C293" s="4">
        <v>27.99</v>
      </c>
      <c r="D293" s="3" t="s">
        <v>535</v>
      </c>
      <c r="E293" s="2" t="s">
        <v>167</v>
      </c>
      <c r="F293" s="2" t="s">
        <v>536</v>
      </c>
      <c r="G293" s="2"/>
      <c r="H293" s="2" t="s">
        <v>537</v>
      </c>
      <c r="I293" s="5" t="str">
        <f>HYPERLINK("http://slimages.macys.com/is/image/MCY/2641397 ")</f>
        <v xml:space="preserve">http://slimages.macys.com/is/image/MCY/2641397 </v>
      </c>
    </row>
    <row r="294" spans="1:9" ht="53" x14ac:dyDescent="0.2">
      <c r="A294" s="2" t="s">
        <v>538</v>
      </c>
      <c r="B294" s="3">
        <v>1</v>
      </c>
      <c r="C294" s="4">
        <v>25</v>
      </c>
      <c r="D294" s="3" t="s">
        <v>539</v>
      </c>
      <c r="E294" s="2" t="s">
        <v>53</v>
      </c>
      <c r="F294" s="2" t="s">
        <v>540</v>
      </c>
      <c r="G294" s="2" t="s">
        <v>13</v>
      </c>
      <c r="H294" s="2" t="s">
        <v>98</v>
      </c>
      <c r="I294" s="5" t="str">
        <f>HYPERLINK("http://slimages.macys.com/is/image/MCY/14730287 ")</f>
        <v xml:space="preserve">http://slimages.macys.com/is/image/MCY/14730287 </v>
      </c>
    </row>
    <row r="295" spans="1:9" ht="53" x14ac:dyDescent="0.2">
      <c r="A295" s="2" t="s">
        <v>541</v>
      </c>
      <c r="B295" s="3">
        <v>1</v>
      </c>
      <c r="C295" s="4">
        <v>29.98</v>
      </c>
      <c r="D295" s="3" t="s">
        <v>542</v>
      </c>
      <c r="E295" s="2" t="s">
        <v>106</v>
      </c>
      <c r="F295" s="2" t="s">
        <v>490</v>
      </c>
      <c r="G295" s="2" t="s">
        <v>13</v>
      </c>
      <c r="H295" s="2" t="s">
        <v>98</v>
      </c>
      <c r="I295" s="5" t="str">
        <f>HYPERLINK("http://slimages.macys.com/is/image/MCY/1450024 ")</f>
        <v xml:space="preserve">http://slimages.macys.com/is/image/MCY/1450024 </v>
      </c>
    </row>
    <row r="296" spans="1:9" ht="53" x14ac:dyDescent="0.2">
      <c r="A296" s="2" t="s">
        <v>543</v>
      </c>
      <c r="B296" s="3">
        <v>1</v>
      </c>
      <c r="C296" s="4">
        <v>34.99</v>
      </c>
      <c r="D296" s="3" t="s">
        <v>544</v>
      </c>
      <c r="E296" s="2" t="s">
        <v>33</v>
      </c>
      <c r="F296" s="2" t="s">
        <v>490</v>
      </c>
      <c r="G296" s="2" t="s">
        <v>13</v>
      </c>
      <c r="H296" s="2" t="s">
        <v>545</v>
      </c>
      <c r="I296" s="5" t="str">
        <f>HYPERLINK("http://slimages.macys.com/is/image/MCY/13906357 ")</f>
        <v xml:space="preserve">http://slimages.macys.com/is/image/MCY/13906357 </v>
      </c>
    </row>
    <row r="297" spans="1:9" ht="53" x14ac:dyDescent="0.2">
      <c r="A297" s="2" t="s">
        <v>546</v>
      </c>
      <c r="B297" s="3">
        <v>1</v>
      </c>
      <c r="C297" s="4">
        <v>25</v>
      </c>
      <c r="D297" s="3" t="s">
        <v>547</v>
      </c>
      <c r="E297" s="2" t="s">
        <v>318</v>
      </c>
      <c r="F297" s="2" t="s">
        <v>291</v>
      </c>
      <c r="G297" s="2" t="s">
        <v>13</v>
      </c>
      <c r="H297" s="2" t="s">
        <v>548</v>
      </c>
      <c r="I297" s="5" t="str">
        <f>HYPERLINK("http://slimages.macys.com/is/image/MCY/14844648 ")</f>
        <v xml:space="preserve">http://slimages.macys.com/is/image/MCY/14844648 </v>
      </c>
    </row>
    <row r="298" spans="1:9" ht="53" x14ac:dyDescent="0.2">
      <c r="A298" s="2" t="s">
        <v>549</v>
      </c>
      <c r="B298" s="3">
        <v>1</v>
      </c>
      <c r="C298" s="4">
        <v>34.99</v>
      </c>
      <c r="D298" s="3" t="s">
        <v>550</v>
      </c>
      <c r="E298" s="2" t="s">
        <v>33</v>
      </c>
      <c r="F298" s="2" t="s">
        <v>490</v>
      </c>
      <c r="G298" s="2" t="s">
        <v>13</v>
      </c>
      <c r="H298" s="2" t="s">
        <v>118</v>
      </c>
      <c r="I298" s="5" t="str">
        <f>HYPERLINK("http://slimages.macys.com/is/image/MCY/14409573 ")</f>
        <v xml:space="preserve">http://slimages.macys.com/is/image/MCY/14409573 </v>
      </c>
    </row>
    <row r="299" spans="1:9" ht="53" x14ac:dyDescent="0.2">
      <c r="A299" s="2" t="s">
        <v>549</v>
      </c>
      <c r="B299" s="3">
        <v>1</v>
      </c>
      <c r="C299" s="4">
        <v>34.99</v>
      </c>
      <c r="D299" s="3" t="s">
        <v>550</v>
      </c>
      <c r="E299" s="2" t="s">
        <v>33</v>
      </c>
      <c r="F299" s="2" t="s">
        <v>490</v>
      </c>
      <c r="G299" s="2" t="s">
        <v>13</v>
      </c>
      <c r="H299" s="2" t="s">
        <v>118</v>
      </c>
      <c r="I299" s="5" t="str">
        <f>HYPERLINK("http://slimages.macys.com/is/image/MCY/14409573 ")</f>
        <v xml:space="preserve">http://slimages.macys.com/is/image/MCY/14409573 </v>
      </c>
    </row>
    <row r="300" spans="1:9" ht="53" x14ac:dyDescent="0.2">
      <c r="A300" s="2" t="s">
        <v>551</v>
      </c>
      <c r="B300" s="3">
        <v>1</v>
      </c>
      <c r="C300" s="4">
        <v>64.989999999999995</v>
      </c>
      <c r="D300" s="3" t="s">
        <v>552</v>
      </c>
      <c r="E300" s="2" t="s">
        <v>553</v>
      </c>
      <c r="F300" s="2" t="s">
        <v>554</v>
      </c>
      <c r="G300" s="2" t="s">
        <v>13</v>
      </c>
      <c r="H300" s="2" t="s">
        <v>555</v>
      </c>
      <c r="I300" s="5" t="str">
        <f>HYPERLINK("http://slimages.macys.com/is/image/MCY/11495796 ")</f>
        <v xml:space="preserve">http://slimages.macys.com/is/image/MCY/11495796 </v>
      </c>
    </row>
    <row r="301" spans="1:9" ht="53" x14ac:dyDescent="0.2">
      <c r="A301" s="2" t="s">
        <v>556</v>
      </c>
      <c r="B301" s="3">
        <v>1</v>
      </c>
      <c r="C301" s="4">
        <v>34.979999999999997</v>
      </c>
      <c r="D301" s="3" t="s">
        <v>557</v>
      </c>
      <c r="E301" s="2" t="s">
        <v>33</v>
      </c>
      <c r="F301" s="2" t="s">
        <v>558</v>
      </c>
      <c r="G301" s="2" t="s">
        <v>13</v>
      </c>
      <c r="H301" s="2" t="s">
        <v>35</v>
      </c>
      <c r="I301" s="5" t="str">
        <f>HYPERLINK("http://slimages.macys.com/is/image/MCY/2577519 ")</f>
        <v xml:space="preserve">http://slimages.macys.com/is/image/MCY/2577519 </v>
      </c>
    </row>
    <row r="302" spans="1:9" ht="53" x14ac:dyDescent="0.2">
      <c r="A302" s="2" t="s">
        <v>559</v>
      </c>
      <c r="B302" s="3">
        <v>1</v>
      </c>
      <c r="C302" s="4">
        <v>8.2799999999999994</v>
      </c>
      <c r="D302" s="3" t="s">
        <v>560</v>
      </c>
      <c r="E302" s="2" t="s">
        <v>33</v>
      </c>
      <c r="F302" s="2" t="s">
        <v>499</v>
      </c>
      <c r="G302" s="2" t="s">
        <v>13</v>
      </c>
      <c r="H302" s="2" t="s">
        <v>561</v>
      </c>
      <c r="I302" s="5" t="str">
        <f>HYPERLINK("http://slimages.macys.com/is/image/MCY/9988227 ")</f>
        <v xml:space="preserve">http://slimages.macys.com/is/image/MCY/9988227 </v>
      </c>
    </row>
    <row r="303" spans="1:9" ht="53" x14ac:dyDescent="0.2">
      <c r="A303" s="2" t="s">
        <v>559</v>
      </c>
      <c r="B303" s="3">
        <v>5</v>
      </c>
      <c r="C303" s="4">
        <v>41.4</v>
      </c>
      <c r="D303" s="3" t="s">
        <v>560</v>
      </c>
      <c r="E303" s="2" t="s">
        <v>33</v>
      </c>
      <c r="F303" s="2" t="s">
        <v>499</v>
      </c>
      <c r="G303" s="2" t="s">
        <v>13</v>
      </c>
      <c r="H303" s="2" t="s">
        <v>561</v>
      </c>
      <c r="I303" s="5" t="str">
        <f>HYPERLINK("http://slimages.macys.com/is/image/MCY/9988227 ")</f>
        <v xml:space="preserve">http://slimages.macys.com/is/image/MCY/9988227 </v>
      </c>
    </row>
    <row r="304" spans="1:9" ht="53" x14ac:dyDescent="0.2">
      <c r="A304" s="2" t="s">
        <v>562</v>
      </c>
      <c r="B304" s="3">
        <v>1</v>
      </c>
      <c r="C304" s="4">
        <v>37.99</v>
      </c>
      <c r="D304" s="3" t="s">
        <v>563</v>
      </c>
      <c r="E304" s="2" t="s">
        <v>49</v>
      </c>
      <c r="F304" s="2" t="s">
        <v>490</v>
      </c>
      <c r="G304" s="2" t="s">
        <v>13</v>
      </c>
      <c r="H304" s="2" t="s">
        <v>112</v>
      </c>
      <c r="I304" s="5" t="str">
        <f>HYPERLINK("http://slimages.macys.com/is/image/MCY/13905015 ")</f>
        <v xml:space="preserve">http://slimages.macys.com/is/image/MCY/13905015 </v>
      </c>
    </row>
    <row r="305" spans="1:9" ht="53" x14ac:dyDescent="0.2">
      <c r="A305" s="2" t="s">
        <v>564</v>
      </c>
      <c r="B305" s="3">
        <v>2</v>
      </c>
      <c r="C305" s="4">
        <v>55.98</v>
      </c>
      <c r="D305" s="3" t="s">
        <v>565</v>
      </c>
      <c r="E305" s="2" t="s">
        <v>385</v>
      </c>
      <c r="F305" s="2" t="s">
        <v>566</v>
      </c>
      <c r="G305" s="2" t="s">
        <v>13</v>
      </c>
      <c r="H305" s="2" t="s">
        <v>537</v>
      </c>
      <c r="I305" s="5" t="str">
        <f>HYPERLINK("http://slimages.macys.com/is/image/MCY/15420128 ")</f>
        <v xml:space="preserve">http://slimages.macys.com/is/image/MCY/15420128 </v>
      </c>
    </row>
    <row r="306" spans="1:9" ht="53" x14ac:dyDescent="0.2">
      <c r="A306" s="2" t="s">
        <v>567</v>
      </c>
      <c r="B306" s="3">
        <v>3</v>
      </c>
      <c r="C306" s="4">
        <v>83.97</v>
      </c>
      <c r="D306" s="3" t="s">
        <v>568</v>
      </c>
      <c r="E306" s="2" t="s">
        <v>72</v>
      </c>
      <c r="F306" s="2" t="s">
        <v>566</v>
      </c>
      <c r="G306" s="2" t="s">
        <v>13</v>
      </c>
      <c r="H306" s="2" t="s">
        <v>537</v>
      </c>
      <c r="I306" s="5" t="str">
        <f>HYPERLINK("http://slimages.macys.com/is/image/MCY/14912288 ")</f>
        <v xml:space="preserve">http://slimages.macys.com/is/image/MCY/14912288 </v>
      </c>
    </row>
    <row r="307" spans="1:9" ht="53" x14ac:dyDescent="0.2">
      <c r="A307" s="2" t="s">
        <v>569</v>
      </c>
      <c r="B307" s="3">
        <v>1</v>
      </c>
      <c r="C307" s="4">
        <v>27.99</v>
      </c>
      <c r="D307" s="3" t="s">
        <v>570</v>
      </c>
      <c r="E307" s="2" t="s">
        <v>72</v>
      </c>
      <c r="F307" s="2" t="s">
        <v>566</v>
      </c>
      <c r="G307" s="2" t="s">
        <v>13</v>
      </c>
      <c r="H307" s="2" t="s">
        <v>537</v>
      </c>
      <c r="I307" s="5" t="str">
        <f>HYPERLINK("http://slimages.macys.com/is/image/MCY/10411501 ")</f>
        <v xml:space="preserve">http://slimages.macys.com/is/image/MCY/10411501 </v>
      </c>
    </row>
    <row r="308" spans="1:9" ht="53" x14ac:dyDescent="0.2">
      <c r="A308" s="2" t="s">
        <v>571</v>
      </c>
      <c r="B308" s="3">
        <v>1</v>
      </c>
      <c r="C308" s="4">
        <v>27.99</v>
      </c>
      <c r="D308" s="3" t="s">
        <v>572</v>
      </c>
      <c r="E308" s="2" t="s">
        <v>72</v>
      </c>
      <c r="F308" s="2" t="s">
        <v>566</v>
      </c>
      <c r="G308" s="2" t="s">
        <v>13</v>
      </c>
      <c r="H308" s="2" t="s">
        <v>573</v>
      </c>
      <c r="I308" s="5" t="str">
        <f>HYPERLINK("http://slimages.macys.com/is/image/MCY/13859463 ")</f>
        <v xml:space="preserve">http://slimages.macys.com/is/image/MCY/13859463 </v>
      </c>
    </row>
    <row r="309" spans="1:9" ht="53" x14ac:dyDescent="0.2">
      <c r="A309" s="2" t="s">
        <v>574</v>
      </c>
      <c r="B309" s="3">
        <v>1</v>
      </c>
      <c r="C309" s="4">
        <v>27.99</v>
      </c>
      <c r="D309" s="3" t="s">
        <v>575</v>
      </c>
      <c r="E309" s="2" t="s">
        <v>576</v>
      </c>
      <c r="F309" s="2" t="s">
        <v>566</v>
      </c>
      <c r="G309" s="2" t="s">
        <v>13</v>
      </c>
      <c r="H309" s="2" t="s">
        <v>577</v>
      </c>
      <c r="I309" s="5" t="str">
        <f>HYPERLINK("http://slimages.macys.com/is/image/MCY/15954189 ")</f>
        <v xml:space="preserve">http://slimages.macys.com/is/image/MCY/15954189 </v>
      </c>
    </row>
    <row r="310" spans="1:9" ht="53" x14ac:dyDescent="0.2">
      <c r="A310" s="2" t="s">
        <v>578</v>
      </c>
      <c r="B310" s="3">
        <v>1</v>
      </c>
      <c r="C310" s="4">
        <v>27.99</v>
      </c>
      <c r="D310" s="3" t="s">
        <v>579</v>
      </c>
      <c r="E310" s="2" t="s">
        <v>124</v>
      </c>
      <c r="F310" s="2" t="s">
        <v>566</v>
      </c>
      <c r="G310" s="2" t="s">
        <v>13</v>
      </c>
      <c r="H310" s="2" t="s">
        <v>580</v>
      </c>
      <c r="I310" s="5" t="str">
        <f>HYPERLINK("http://slimages.macys.com/is/image/MCY/9327222 ")</f>
        <v xml:space="preserve">http://slimages.macys.com/is/image/MCY/9327222 </v>
      </c>
    </row>
    <row r="311" spans="1:9" ht="53" x14ac:dyDescent="0.2">
      <c r="A311" s="2" t="s">
        <v>581</v>
      </c>
      <c r="B311" s="3">
        <v>1</v>
      </c>
      <c r="C311" s="4">
        <v>27.99</v>
      </c>
      <c r="D311" s="3" t="s">
        <v>582</v>
      </c>
      <c r="E311" s="2" t="s">
        <v>77</v>
      </c>
      <c r="F311" s="2" t="s">
        <v>566</v>
      </c>
      <c r="G311" s="2" t="s">
        <v>13</v>
      </c>
      <c r="H311" s="2" t="s">
        <v>583</v>
      </c>
      <c r="I311" s="5" t="str">
        <f>HYPERLINK("http://slimages.macys.com/is/image/MCY/15420157 ")</f>
        <v xml:space="preserve">http://slimages.macys.com/is/image/MCY/15420157 </v>
      </c>
    </row>
    <row r="312" spans="1:9" ht="53" x14ac:dyDescent="0.2">
      <c r="A312" s="2" t="s">
        <v>584</v>
      </c>
      <c r="B312" s="3">
        <v>1</v>
      </c>
      <c r="C312" s="4">
        <v>27.99</v>
      </c>
      <c r="D312" s="3" t="s">
        <v>585</v>
      </c>
      <c r="E312" s="2" t="s">
        <v>72</v>
      </c>
      <c r="F312" s="2" t="s">
        <v>566</v>
      </c>
      <c r="G312" s="2" t="s">
        <v>13</v>
      </c>
      <c r="H312" s="2" t="s">
        <v>537</v>
      </c>
      <c r="I312" s="5" t="str">
        <f>HYPERLINK("http://slimages.macys.com/is/image/MCY/10973011 ")</f>
        <v xml:space="preserve">http://slimages.macys.com/is/image/MCY/10973011 </v>
      </c>
    </row>
    <row r="313" spans="1:9" ht="53" x14ac:dyDescent="0.2">
      <c r="A313" s="2" t="s">
        <v>574</v>
      </c>
      <c r="B313" s="3">
        <v>2</v>
      </c>
      <c r="C313" s="4">
        <v>55.98</v>
      </c>
      <c r="D313" s="3" t="s">
        <v>575</v>
      </c>
      <c r="E313" s="2" t="s">
        <v>195</v>
      </c>
      <c r="F313" s="2" t="s">
        <v>566</v>
      </c>
      <c r="G313" s="2" t="s">
        <v>13</v>
      </c>
      <c r="H313" s="2" t="s">
        <v>577</v>
      </c>
      <c r="I313" s="5" t="str">
        <f>HYPERLINK("http://slimages.macys.com/is/image/MCY/15954189 ")</f>
        <v xml:space="preserve">http://slimages.macys.com/is/image/MCY/15954189 </v>
      </c>
    </row>
    <row r="314" spans="1:9" ht="53" x14ac:dyDescent="0.2">
      <c r="A314" s="2" t="s">
        <v>586</v>
      </c>
      <c r="B314" s="3">
        <v>1</v>
      </c>
      <c r="C314" s="4">
        <v>27.99</v>
      </c>
      <c r="D314" s="3" t="s">
        <v>587</v>
      </c>
      <c r="E314" s="2" t="s">
        <v>17</v>
      </c>
      <c r="F314" s="2" t="s">
        <v>566</v>
      </c>
      <c r="G314" s="2" t="s">
        <v>13</v>
      </c>
      <c r="H314" s="2" t="s">
        <v>583</v>
      </c>
      <c r="I314" s="5" t="str">
        <f>HYPERLINK("http://slimages.macys.com/is/image/MCY/15420079 ")</f>
        <v xml:space="preserve">http://slimages.macys.com/is/image/MCY/15420079 </v>
      </c>
    </row>
    <row r="315" spans="1:9" ht="53" x14ac:dyDescent="0.2">
      <c r="A315" s="2" t="s">
        <v>588</v>
      </c>
      <c r="B315" s="3">
        <v>1</v>
      </c>
      <c r="C315" s="4">
        <v>27.99</v>
      </c>
      <c r="D315" s="3" t="s">
        <v>589</v>
      </c>
      <c r="E315" s="2" t="s">
        <v>590</v>
      </c>
      <c r="F315" s="2" t="s">
        <v>566</v>
      </c>
      <c r="G315" s="2" t="s">
        <v>13</v>
      </c>
      <c r="H315" s="2" t="s">
        <v>573</v>
      </c>
      <c r="I315" s="5" t="str">
        <f>HYPERLINK("http://slimages.macys.com/is/image/MCY/15954226 ")</f>
        <v xml:space="preserve">http://slimages.macys.com/is/image/MCY/15954226 </v>
      </c>
    </row>
    <row r="316" spans="1:9" ht="53" x14ac:dyDescent="0.2">
      <c r="A316" s="2" t="s">
        <v>591</v>
      </c>
      <c r="B316" s="3">
        <v>1</v>
      </c>
      <c r="C316" s="4">
        <v>25</v>
      </c>
      <c r="D316" s="3" t="s">
        <v>592</v>
      </c>
      <c r="E316" s="2" t="s">
        <v>77</v>
      </c>
      <c r="F316" s="2" t="s">
        <v>532</v>
      </c>
      <c r="G316" s="2" t="s">
        <v>13</v>
      </c>
      <c r="H316" s="2" t="s">
        <v>533</v>
      </c>
      <c r="I316" s="5" t="str">
        <f>HYPERLINK("http://slimages.macys.com/is/image/MCY/9870334 ")</f>
        <v xml:space="preserve">http://slimages.macys.com/is/image/MCY/9870334 </v>
      </c>
    </row>
    <row r="317" spans="1:9" ht="53" x14ac:dyDescent="0.2">
      <c r="A317" s="2" t="s">
        <v>593</v>
      </c>
      <c r="B317" s="3">
        <v>1</v>
      </c>
      <c r="C317" s="4">
        <v>39.99</v>
      </c>
      <c r="D317" s="3" t="s">
        <v>594</v>
      </c>
      <c r="E317" s="2" t="s">
        <v>106</v>
      </c>
      <c r="F317" s="2" t="s">
        <v>449</v>
      </c>
      <c r="G317" s="2" t="s">
        <v>13</v>
      </c>
      <c r="H317" s="2" t="s">
        <v>378</v>
      </c>
      <c r="I317" s="5" t="str">
        <f>HYPERLINK("http://slimages.macys.com/is/image/MCY/9265595 ")</f>
        <v xml:space="preserve">http://slimages.macys.com/is/image/MCY/9265595 </v>
      </c>
    </row>
    <row r="318" spans="1:9" ht="53" x14ac:dyDescent="0.2">
      <c r="A318" s="2" t="s">
        <v>595</v>
      </c>
      <c r="B318" s="3">
        <v>1</v>
      </c>
      <c r="C318" s="4">
        <v>39.99</v>
      </c>
      <c r="D318" s="3" t="s">
        <v>596</v>
      </c>
      <c r="E318" s="2" t="s">
        <v>33</v>
      </c>
      <c r="F318" s="2" t="s">
        <v>597</v>
      </c>
      <c r="G318" s="2" t="s">
        <v>13</v>
      </c>
      <c r="H318" s="2" t="s">
        <v>378</v>
      </c>
      <c r="I318" s="5" t="str">
        <f>HYPERLINK("http://slimages.macys.com/is/image/MCY/13313342 ")</f>
        <v xml:space="preserve">http://slimages.macys.com/is/image/MCY/13313342 </v>
      </c>
    </row>
    <row r="319" spans="1:9" ht="53" x14ac:dyDescent="0.2">
      <c r="A319" s="2" t="s">
        <v>598</v>
      </c>
      <c r="B319" s="3">
        <v>1</v>
      </c>
      <c r="C319" s="4">
        <v>21.98</v>
      </c>
      <c r="D319" s="3" t="s">
        <v>599</v>
      </c>
      <c r="E319" s="2" t="s">
        <v>124</v>
      </c>
      <c r="F319" s="2" t="s">
        <v>168</v>
      </c>
      <c r="G319" s="2" t="s">
        <v>13</v>
      </c>
      <c r="H319" s="2" t="s">
        <v>155</v>
      </c>
      <c r="I319" s="5" t="str">
        <f>HYPERLINK("http://slimages.macys.com/is/image/MCY/10683549 ")</f>
        <v xml:space="preserve">http://slimages.macys.com/is/image/MCY/10683549 </v>
      </c>
    </row>
    <row r="320" spans="1:9" ht="53" x14ac:dyDescent="0.2">
      <c r="A320" s="2" t="s">
        <v>600</v>
      </c>
      <c r="B320" s="3">
        <v>1</v>
      </c>
      <c r="C320" s="4">
        <v>34.99</v>
      </c>
      <c r="D320" s="3" t="s">
        <v>601</v>
      </c>
      <c r="E320" s="2" t="s">
        <v>161</v>
      </c>
      <c r="F320" s="2" t="s">
        <v>449</v>
      </c>
      <c r="G320" s="2" t="s">
        <v>13</v>
      </c>
      <c r="H320" s="2" t="s">
        <v>378</v>
      </c>
      <c r="I320" s="5" t="str">
        <f>HYPERLINK("http://slimages.macys.com/is/image/MCY/13828326 ")</f>
        <v xml:space="preserve">http://slimages.macys.com/is/image/MCY/13828326 </v>
      </c>
    </row>
    <row r="321" spans="1:9" ht="53" x14ac:dyDescent="0.2">
      <c r="A321" s="2" t="s">
        <v>602</v>
      </c>
      <c r="B321" s="3">
        <v>1</v>
      </c>
      <c r="C321" s="4">
        <v>34.99</v>
      </c>
      <c r="D321" s="3" t="s">
        <v>603</v>
      </c>
      <c r="E321" s="2" t="s">
        <v>531</v>
      </c>
      <c r="F321" s="2" t="s">
        <v>449</v>
      </c>
      <c r="G321" s="2" t="s">
        <v>13</v>
      </c>
      <c r="H321" s="2" t="s">
        <v>378</v>
      </c>
      <c r="I321" s="5" t="str">
        <f>HYPERLINK("http://slimages.macys.com/is/image/MCY/13828326 ")</f>
        <v xml:space="preserve">http://slimages.macys.com/is/image/MCY/13828326 </v>
      </c>
    </row>
    <row r="322" spans="1:9" ht="53" x14ac:dyDescent="0.2">
      <c r="A322" s="2" t="s">
        <v>604</v>
      </c>
      <c r="B322" s="3">
        <v>1</v>
      </c>
      <c r="C322" s="4">
        <v>37.99</v>
      </c>
      <c r="D322" s="3" t="s">
        <v>605</v>
      </c>
      <c r="E322" s="2" t="s">
        <v>161</v>
      </c>
      <c r="F322" s="2" t="s">
        <v>597</v>
      </c>
      <c r="G322" s="2" t="s">
        <v>13</v>
      </c>
      <c r="H322" s="2" t="s">
        <v>98</v>
      </c>
      <c r="I322" s="5" t="str">
        <f>HYPERLINK("http://slimages.macys.com/is/image/MCY/16359014 ")</f>
        <v xml:space="preserve">http://slimages.macys.com/is/image/MCY/16359014 </v>
      </c>
    </row>
    <row r="323" spans="1:9" ht="53" x14ac:dyDescent="0.2">
      <c r="A323" s="2" t="s">
        <v>606</v>
      </c>
      <c r="B323" s="3">
        <v>1</v>
      </c>
      <c r="C323" s="4">
        <v>25</v>
      </c>
      <c r="D323" s="3" t="s">
        <v>607</v>
      </c>
      <c r="E323" s="2" t="s">
        <v>116</v>
      </c>
      <c r="F323" s="2" t="s">
        <v>532</v>
      </c>
      <c r="G323" s="2" t="s">
        <v>13</v>
      </c>
      <c r="H323" s="2" t="s">
        <v>533</v>
      </c>
      <c r="I323" s="5" t="str">
        <f>HYPERLINK("http://slimages.macys.com/is/image/MCY/11518096 ")</f>
        <v xml:space="preserve">http://slimages.macys.com/is/image/MCY/11518096 </v>
      </c>
    </row>
    <row r="324" spans="1:9" ht="53" x14ac:dyDescent="0.2">
      <c r="A324" s="2" t="s">
        <v>608</v>
      </c>
      <c r="B324" s="3">
        <v>2</v>
      </c>
      <c r="C324" s="4">
        <v>56</v>
      </c>
      <c r="D324" s="3">
        <v>87994405</v>
      </c>
      <c r="E324" s="2" t="s">
        <v>323</v>
      </c>
      <c r="F324" s="2" t="s">
        <v>609</v>
      </c>
      <c r="G324" s="2" t="s">
        <v>13</v>
      </c>
      <c r="H324" s="2" t="s">
        <v>583</v>
      </c>
      <c r="I324" s="5" t="str">
        <f>HYPERLINK("http://slimages.macys.com/is/image/MCY/16090922 ")</f>
        <v xml:space="preserve">http://slimages.macys.com/is/image/MCY/16090922 </v>
      </c>
    </row>
    <row r="325" spans="1:9" ht="53" x14ac:dyDescent="0.2">
      <c r="A325" s="2" t="s">
        <v>610</v>
      </c>
      <c r="B325" s="3">
        <v>1</v>
      </c>
      <c r="C325" s="4">
        <v>28</v>
      </c>
      <c r="D325" s="3" t="s">
        <v>611</v>
      </c>
      <c r="E325" s="2" t="s">
        <v>335</v>
      </c>
      <c r="F325" s="2" t="s">
        <v>612</v>
      </c>
      <c r="G325" s="2" t="s">
        <v>13</v>
      </c>
      <c r="H325" s="2" t="s">
        <v>583</v>
      </c>
      <c r="I325" s="5" t="str">
        <f>HYPERLINK("http://slimages.macys.com/is/image/MCY/15882734 ")</f>
        <v xml:space="preserve">http://slimages.macys.com/is/image/MCY/15882734 </v>
      </c>
    </row>
    <row r="326" spans="1:9" ht="53" x14ac:dyDescent="0.2">
      <c r="A326" s="2" t="s">
        <v>613</v>
      </c>
      <c r="B326" s="3">
        <v>1</v>
      </c>
      <c r="C326" s="4">
        <v>28</v>
      </c>
      <c r="D326" s="3">
        <v>87594616</v>
      </c>
      <c r="E326" s="2" t="s">
        <v>323</v>
      </c>
      <c r="F326" s="2" t="s">
        <v>609</v>
      </c>
      <c r="G326" s="2" t="s">
        <v>13</v>
      </c>
      <c r="H326" s="2" t="s">
        <v>614</v>
      </c>
      <c r="I326" s="5" t="str">
        <f>HYPERLINK("http://slimages.macys.com/is/image/MCY/16177217 ")</f>
        <v xml:space="preserve">http://slimages.macys.com/is/image/MCY/16177217 </v>
      </c>
    </row>
    <row r="327" spans="1:9" ht="53" x14ac:dyDescent="0.2">
      <c r="A327" s="2" t="s">
        <v>615</v>
      </c>
      <c r="B327" s="3">
        <v>1</v>
      </c>
      <c r="C327" s="4">
        <v>28</v>
      </c>
      <c r="D327" s="3">
        <v>87994403</v>
      </c>
      <c r="E327" s="2" t="s">
        <v>77</v>
      </c>
      <c r="F327" s="2" t="s">
        <v>609</v>
      </c>
      <c r="G327" s="2" t="s">
        <v>13</v>
      </c>
      <c r="H327" s="2" t="s">
        <v>577</v>
      </c>
      <c r="I327" s="5" t="str">
        <f>HYPERLINK("http://slimages.macys.com/is/image/MCY/15882927 ")</f>
        <v xml:space="preserve">http://slimages.macys.com/is/image/MCY/15882927 </v>
      </c>
    </row>
    <row r="328" spans="1:9" ht="53" x14ac:dyDescent="0.2">
      <c r="A328" s="2" t="s">
        <v>616</v>
      </c>
      <c r="B328" s="3">
        <v>1</v>
      </c>
      <c r="C328" s="4">
        <v>28</v>
      </c>
      <c r="D328" s="3">
        <v>87994618</v>
      </c>
      <c r="E328" s="2" t="s">
        <v>161</v>
      </c>
      <c r="F328" s="2" t="s">
        <v>609</v>
      </c>
      <c r="G328" s="2" t="s">
        <v>13</v>
      </c>
      <c r="H328" s="2" t="s">
        <v>577</v>
      </c>
      <c r="I328" s="5" t="str">
        <f>HYPERLINK("http://slimages.macys.com/is/image/MCY/15899134 ")</f>
        <v xml:space="preserve">http://slimages.macys.com/is/image/MCY/15899134 </v>
      </c>
    </row>
    <row r="329" spans="1:9" ht="53" x14ac:dyDescent="0.2">
      <c r="A329" s="2" t="s">
        <v>616</v>
      </c>
      <c r="B329" s="3">
        <v>1</v>
      </c>
      <c r="C329" s="4">
        <v>28</v>
      </c>
      <c r="D329" s="3">
        <v>87994618</v>
      </c>
      <c r="E329" s="2" t="s">
        <v>17</v>
      </c>
      <c r="F329" s="2" t="s">
        <v>609</v>
      </c>
      <c r="G329" s="2" t="s">
        <v>13</v>
      </c>
      <c r="H329" s="2" t="s">
        <v>577</v>
      </c>
      <c r="I329" s="5" t="str">
        <f>HYPERLINK("http://slimages.macys.com/is/image/MCY/15899134 ")</f>
        <v xml:space="preserve">http://slimages.macys.com/is/image/MCY/15899134 </v>
      </c>
    </row>
    <row r="330" spans="1:9" ht="53" x14ac:dyDescent="0.2">
      <c r="A330" s="2" t="s">
        <v>617</v>
      </c>
      <c r="B330" s="3">
        <v>1</v>
      </c>
      <c r="C330" s="4">
        <v>28</v>
      </c>
      <c r="D330" s="3">
        <v>87994402</v>
      </c>
      <c r="E330" s="2" t="s">
        <v>72</v>
      </c>
      <c r="F330" s="2" t="s">
        <v>609</v>
      </c>
      <c r="G330" s="2" t="s">
        <v>13</v>
      </c>
      <c r="H330" s="2" t="s">
        <v>583</v>
      </c>
      <c r="I330" s="5" t="str">
        <f>HYPERLINK("http://slimages.macys.com/is/image/MCY/15884038 ")</f>
        <v xml:space="preserve">http://slimages.macys.com/is/image/MCY/15884038 </v>
      </c>
    </row>
    <row r="331" spans="1:9" ht="53" x14ac:dyDescent="0.2">
      <c r="A331" s="2" t="s">
        <v>618</v>
      </c>
      <c r="B331" s="3">
        <v>1</v>
      </c>
      <c r="C331" s="4">
        <v>28</v>
      </c>
      <c r="D331" s="3">
        <v>81994401</v>
      </c>
      <c r="E331" s="2" t="s">
        <v>11</v>
      </c>
      <c r="F331" s="2" t="s">
        <v>609</v>
      </c>
      <c r="G331" s="2" t="s">
        <v>13</v>
      </c>
      <c r="H331" s="2" t="s">
        <v>619</v>
      </c>
      <c r="I331" s="5" t="str">
        <f>HYPERLINK("http://slimages.macys.com/is/image/MCY/15882883 ")</f>
        <v xml:space="preserve">http://slimages.macys.com/is/image/MCY/15882883 </v>
      </c>
    </row>
    <row r="332" spans="1:9" ht="53" x14ac:dyDescent="0.2">
      <c r="A332" s="2" t="s">
        <v>618</v>
      </c>
      <c r="B332" s="3">
        <v>2</v>
      </c>
      <c r="C332" s="4">
        <v>56</v>
      </c>
      <c r="D332" s="3">
        <v>81994401</v>
      </c>
      <c r="E332" s="2" t="s">
        <v>17</v>
      </c>
      <c r="F332" s="2" t="s">
        <v>609</v>
      </c>
      <c r="G332" s="2" t="s">
        <v>13</v>
      </c>
      <c r="H332" s="2" t="s">
        <v>619</v>
      </c>
      <c r="I332" s="5" t="str">
        <f>HYPERLINK("http://slimages.macys.com/is/image/MCY/15882883 ")</f>
        <v xml:space="preserve">http://slimages.macys.com/is/image/MCY/15882883 </v>
      </c>
    </row>
    <row r="333" spans="1:9" ht="53" x14ac:dyDescent="0.2">
      <c r="A333" s="2" t="s">
        <v>615</v>
      </c>
      <c r="B333" s="3">
        <v>1</v>
      </c>
      <c r="C333" s="4">
        <v>28</v>
      </c>
      <c r="D333" s="3">
        <v>87994403</v>
      </c>
      <c r="E333" s="2" t="s">
        <v>17</v>
      </c>
      <c r="F333" s="2" t="s">
        <v>609</v>
      </c>
      <c r="G333" s="2" t="s">
        <v>13</v>
      </c>
      <c r="H333" s="2" t="s">
        <v>577</v>
      </c>
      <c r="I333" s="5" t="str">
        <f>HYPERLINK("http://slimages.macys.com/is/image/MCY/15882927 ")</f>
        <v xml:space="preserve">http://slimages.macys.com/is/image/MCY/15882927 </v>
      </c>
    </row>
    <row r="334" spans="1:9" ht="53" x14ac:dyDescent="0.2">
      <c r="A334" s="2" t="s">
        <v>620</v>
      </c>
      <c r="B334" s="3">
        <v>1</v>
      </c>
      <c r="C334" s="4">
        <v>28</v>
      </c>
      <c r="D334" s="3">
        <v>87994406</v>
      </c>
      <c r="E334" s="2" t="s">
        <v>335</v>
      </c>
      <c r="F334" s="2" t="s">
        <v>609</v>
      </c>
      <c r="G334" s="2" t="s">
        <v>13</v>
      </c>
      <c r="H334" s="2" t="s">
        <v>621</v>
      </c>
      <c r="I334" s="5" t="str">
        <f>HYPERLINK("http://slimages.macys.com/is/image/MCY/16178779 ")</f>
        <v xml:space="preserve">http://slimages.macys.com/is/image/MCY/16178779 </v>
      </c>
    </row>
    <row r="335" spans="1:9" ht="53" x14ac:dyDescent="0.2">
      <c r="A335" s="2" t="s">
        <v>608</v>
      </c>
      <c r="B335" s="3">
        <v>4</v>
      </c>
      <c r="C335" s="4">
        <v>112</v>
      </c>
      <c r="D335" s="3">
        <v>87994405</v>
      </c>
      <c r="E335" s="2" t="s">
        <v>17</v>
      </c>
      <c r="F335" s="2" t="s">
        <v>609</v>
      </c>
      <c r="G335" s="2" t="s">
        <v>13</v>
      </c>
      <c r="H335" s="2" t="s">
        <v>583</v>
      </c>
      <c r="I335" s="5" t="str">
        <f>HYPERLINK("http://slimages.macys.com/is/image/MCY/16090922 ")</f>
        <v xml:space="preserve">http://slimages.macys.com/is/image/MCY/16090922 </v>
      </c>
    </row>
    <row r="336" spans="1:9" ht="53" x14ac:dyDescent="0.2">
      <c r="A336" s="2" t="s">
        <v>622</v>
      </c>
      <c r="B336" s="3">
        <v>1</v>
      </c>
      <c r="C336" s="4">
        <v>28</v>
      </c>
      <c r="D336" s="3" t="s">
        <v>623</v>
      </c>
      <c r="E336" s="2" t="s">
        <v>330</v>
      </c>
      <c r="F336" s="2" t="s">
        <v>624</v>
      </c>
      <c r="G336" s="2" t="s">
        <v>13</v>
      </c>
      <c r="H336" s="2" t="s">
        <v>583</v>
      </c>
      <c r="I336" s="5" t="str">
        <f>HYPERLINK("http://slimages.macys.com/is/image/MCY/16192389 ")</f>
        <v xml:space="preserve">http://slimages.macys.com/is/image/MCY/16192389 </v>
      </c>
    </row>
    <row r="337" spans="1:9" ht="53" x14ac:dyDescent="0.2">
      <c r="A337" s="2" t="s">
        <v>625</v>
      </c>
      <c r="B337" s="3">
        <v>2</v>
      </c>
      <c r="C337" s="4">
        <v>56</v>
      </c>
      <c r="D337" s="3">
        <v>87933732</v>
      </c>
      <c r="E337" s="2" t="s">
        <v>323</v>
      </c>
      <c r="F337" s="2" t="s">
        <v>609</v>
      </c>
      <c r="G337" s="2" t="s">
        <v>13</v>
      </c>
      <c r="H337" s="2" t="s">
        <v>537</v>
      </c>
      <c r="I337" s="5" t="str">
        <f>HYPERLINK("http://slimages.macys.com/is/image/MCY/1753410 ")</f>
        <v xml:space="preserve">http://slimages.macys.com/is/image/MCY/1753410 </v>
      </c>
    </row>
    <row r="338" spans="1:9" ht="53" x14ac:dyDescent="0.2">
      <c r="A338" s="2" t="s">
        <v>626</v>
      </c>
      <c r="B338" s="3">
        <v>1</v>
      </c>
      <c r="C338" s="4">
        <v>28</v>
      </c>
      <c r="D338" s="3">
        <v>87993407</v>
      </c>
      <c r="E338" s="2" t="s">
        <v>46</v>
      </c>
      <c r="F338" s="2" t="s">
        <v>609</v>
      </c>
      <c r="G338" s="2" t="s">
        <v>13</v>
      </c>
      <c r="H338" s="2" t="s">
        <v>577</v>
      </c>
      <c r="I338" s="5" t="str">
        <f>HYPERLINK("http://slimages.macys.com/is/image/MCY/13912438 ")</f>
        <v xml:space="preserve">http://slimages.macys.com/is/image/MCY/13912438 </v>
      </c>
    </row>
    <row r="339" spans="1:9" ht="53" x14ac:dyDescent="0.2">
      <c r="A339" s="2" t="s">
        <v>627</v>
      </c>
      <c r="B339" s="3">
        <v>1</v>
      </c>
      <c r="C339" s="4">
        <v>28</v>
      </c>
      <c r="D339" s="3">
        <v>87994201</v>
      </c>
      <c r="E339" s="2" t="s">
        <v>77</v>
      </c>
      <c r="F339" s="2" t="s">
        <v>609</v>
      </c>
      <c r="G339" s="2" t="s">
        <v>13</v>
      </c>
      <c r="H339" s="2" t="s">
        <v>628</v>
      </c>
      <c r="I339" s="5" t="str">
        <f>HYPERLINK("http://slimages.macys.com/is/image/MCY/15147424 ")</f>
        <v xml:space="preserve">http://slimages.macys.com/is/image/MCY/15147424 </v>
      </c>
    </row>
    <row r="340" spans="1:9" ht="53" x14ac:dyDescent="0.2">
      <c r="A340" s="2" t="s">
        <v>608</v>
      </c>
      <c r="B340" s="3">
        <v>1</v>
      </c>
      <c r="C340" s="4">
        <v>28</v>
      </c>
      <c r="D340" s="3">
        <v>87994405</v>
      </c>
      <c r="E340" s="2" t="s">
        <v>161</v>
      </c>
      <c r="F340" s="2" t="s">
        <v>609</v>
      </c>
      <c r="G340" s="2" t="s">
        <v>13</v>
      </c>
      <c r="H340" s="2" t="s">
        <v>583</v>
      </c>
      <c r="I340" s="5" t="str">
        <f>HYPERLINK("http://slimages.macys.com/is/image/MCY/16090922 ")</f>
        <v xml:space="preserve">http://slimages.macys.com/is/image/MCY/16090922 </v>
      </c>
    </row>
    <row r="341" spans="1:9" ht="53" x14ac:dyDescent="0.2">
      <c r="A341" s="2" t="s">
        <v>629</v>
      </c>
      <c r="B341" s="3">
        <v>1</v>
      </c>
      <c r="C341" s="4">
        <v>28</v>
      </c>
      <c r="D341" s="3">
        <v>87994407</v>
      </c>
      <c r="E341" s="2" t="s">
        <v>323</v>
      </c>
      <c r="F341" s="2" t="s">
        <v>609</v>
      </c>
      <c r="G341" s="2" t="s">
        <v>13</v>
      </c>
      <c r="H341" s="2" t="s">
        <v>621</v>
      </c>
      <c r="I341" s="5" t="str">
        <f>HYPERLINK("http://slimages.macys.com/is/image/MCY/16178870 ")</f>
        <v xml:space="preserve">http://slimages.macys.com/is/image/MCY/16178870 </v>
      </c>
    </row>
    <row r="342" spans="1:9" ht="53" x14ac:dyDescent="0.2">
      <c r="A342" s="2" t="s">
        <v>630</v>
      </c>
      <c r="B342" s="3">
        <v>1</v>
      </c>
      <c r="C342" s="4">
        <v>28</v>
      </c>
      <c r="D342" s="3" t="s">
        <v>631</v>
      </c>
      <c r="E342" s="2"/>
      <c r="F342" s="2" t="s">
        <v>612</v>
      </c>
      <c r="G342" s="2" t="s">
        <v>13</v>
      </c>
      <c r="H342" s="2" t="s">
        <v>577</v>
      </c>
      <c r="I342" s="5" t="str">
        <f>HYPERLINK("http://slimages.macys.com/is/image/MCY/15883589 ")</f>
        <v xml:space="preserve">http://slimages.macys.com/is/image/MCY/15883589 </v>
      </c>
    </row>
    <row r="343" spans="1:9" ht="53" x14ac:dyDescent="0.2">
      <c r="A343" s="2" t="s">
        <v>632</v>
      </c>
      <c r="B343" s="3">
        <v>1</v>
      </c>
      <c r="C343" s="4">
        <v>28</v>
      </c>
      <c r="D343" s="3" t="s">
        <v>633</v>
      </c>
      <c r="E343" s="2" t="s">
        <v>590</v>
      </c>
      <c r="F343" s="2" t="s">
        <v>624</v>
      </c>
      <c r="G343" s="2" t="s">
        <v>13</v>
      </c>
      <c r="H343" s="2" t="s">
        <v>583</v>
      </c>
      <c r="I343" s="5" t="str">
        <f>HYPERLINK("http://slimages.macys.com/is/image/MCY/12341575 ")</f>
        <v xml:space="preserve">http://slimages.macys.com/is/image/MCY/12341575 </v>
      </c>
    </row>
    <row r="344" spans="1:9" ht="53" x14ac:dyDescent="0.2">
      <c r="A344" s="2" t="s">
        <v>634</v>
      </c>
      <c r="B344" s="3">
        <v>2</v>
      </c>
      <c r="C344" s="4">
        <v>56</v>
      </c>
      <c r="D344" s="3">
        <v>81994507</v>
      </c>
      <c r="E344" s="2" t="s">
        <v>17</v>
      </c>
      <c r="F344" s="2" t="s">
        <v>609</v>
      </c>
      <c r="G344" s="2" t="s">
        <v>13</v>
      </c>
      <c r="H344" s="2" t="s">
        <v>635</v>
      </c>
      <c r="I344" s="5" t="str">
        <f>HYPERLINK("http://slimages.macys.com/is/image/MCY/15882899 ")</f>
        <v xml:space="preserve">http://slimages.macys.com/is/image/MCY/15882899 </v>
      </c>
    </row>
    <row r="345" spans="1:9" ht="53" x14ac:dyDescent="0.2">
      <c r="A345" s="2" t="s">
        <v>636</v>
      </c>
      <c r="B345" s="3">
        <v>1</v>
      </c>
      <c r="C345" s="4">
        <v>28</v>
      </c>
      <c r="D345" s="3">
        <v>87984505</v>
      </c>
      <c r="E345" s="2" t="s">
        <v>17</v>
      </c>
      <c r="F345" s="2" t="s">
        <v>609</v>
      </c>
      <c r="G345" s="2" t="s">
        <v>13</v>
      </c>
      <c r="H345" s="2" t="s">
        <v>583</v>
      </c>
      <c r="I345" s="5" t="str">
        <f>HYPERLINK("http://slimages.macys.com/is/image/MCY/11952853 ")</f>
        <v xml:space="preserve">http://slimages.macys.com/is/image/MCY/11952853 </v>
      </c>
    </row>
    <row r="346" spans="1:9" ht="53" x14ac:dyDescent="0.2">
      <c r="A346" s="2" t="s">
        <v>637</v>
      </c>
      <c r="B346" s="3">
        <v>1</v>
      </c>
      <c r="C346" s="4">
        <v>28</v>
      </c>
      <c r="D346" s="3" t="s">
        <v>638</v>
      </c>
      <c r="E346" s="2" t="s">
        <v>330</v>
      </c>
      <c r="F346" s="2" t="s">
        <v>612</v>
      </c>
      <c r="G346" s="2" t="s">
        <v>13</v>
      </c>
      <c r="H346" s="2" t="s">
        <v>639</v>
      </c>
      <c r="I346" s="5" t="str">
        <f>HYPERLINK("http://slimages.macys.com/is/image/MCY/15917644 ")</f>
        <v xml:space="preserve">http://slimages.macys.com/is/image/MCY/15917644 </v>
      </c>
    </row>
    <row r="347" spans="1:9" ht="53" x14ac:dyDescent="0.2">
      <c r="A347" s="2" t="s">
        <v>640</v>
      </c>
      <c r="B347" s="3">
        <v>2</v>
      </c>
      <c r="C347" s="4">
        <v>56</v>
      </c>
      <c r="D347" s="3" t="s">
        <v>641</v>
      </c>
      <c r="E347" s="2" t="s">
        <v>330</v>
      </c>
      <c r="F347" s="2" t="s">
        <v>624</v>
      </c>
      <c r="G347" s="2" t="s">
        <v>13</v>
      </c>
      <c r="H347" s="2" t="s">
        <v>583</v>
      </c>
      <c r="I347" s="5" t="str">
        <f>HYPERLINK("http://slimages.macys.com/is/image/MCY/15883244 ")</f>
        <v xml:space="preserve">http://slimages.macys.com/is/image/MCY/15883244 </v>
      </c>
    </row>
    <row r="348" spans="1:9" ht="53" x14ac:dyDescent="0.2">
      <c r="A348" s="2" t="s">
        <v>642</v>
      </c>
      <c r="B348" s="3">
        <v>3</v>
      </c>
      <c r="C348" s="4">
        <v>84</v>
      </c>
      <c r="D348" s="3" t="s">
        <v>643</v>
      </c>
      <c r="E348" s="2" t="s">
        <v>644</v>
      </c>
      <c r="F348" s="2" t="s">
        <v>624</v>
      </c>
      <c r="G348" s="2" t="s">
        <v>13</v>
      </c>
      <c r="H348" s="2" t="s">
        <v>645</v>
      </c>
      <c r="I348" s="5" t="str">
        <f>HYPERLINK("http://slimages.macys.com/is/image/MCY/16190257 ")</f>
        <v xml:space="preserve">http://slimages.macys.com/is/image/MCY/16190257 </v>
      </c>
    </row>
    <row r="349" spans="1:9" ht="53" x14ac:dyDescent="0.2">
      <c r="A349" s="2" t="s">
        <v>646</v>
      </c>
      <c r="B349" s="3">
        <v>1</v>
      </c>
      <c r="C349" s="4">
        <v>28</v>
      </c>
      <c r="D349" s="3" t="s">
        <v>647</v>
      </c>
      <c r="E349" s="2" t="s">
        <v>33</v>
      </c>
      <c r="F349" s="2" t="s">
        <v>624</v>
      </c>
      <c r="G349" s="2" t="s">
        <v>13</v>
      </c>
      <c r="H349" s="2" t="s">
        <v>648</v>
      </c>
      <c r="I349" s="5" t="str">
        <f>HYPERLINK("http://slimages.macys.com/is/image/MCY/15604756 ")</f>
        <v xml:space="preserve">http://slimages.macys.com/is/image/MCY/15604756 </v>
      </c>
    </row>
    <row r="350" spans="1:9" ht="53" x14ac:dyDescent="0.2">
      <c r="A350" s="2" t="s">
        <v>613</v>
      </c>
      <c r="B350" s="3">
        <v>3</v>
      </c>
      <c r="C350" s="4">
        <v>84</v>
      </c>
      <c r="D350" s="3">
        <v>87594616</v>
      </c>
      <c r="E350" s="2" t="s">
        <v>161</v>
      </c>
      <c r="F350" s="2" t="s">
        <v>609</v>
      </c>
      <c r="G350" s="2" t="s">
        <v>13</v>
      </c>
      <c r="H350" s="2" t="s">
        <v>614</v>
      </c>
      <c r="I350" s="5" t="str">
        <f>HYPERLINK("http://slimages.macys.com/is/image/MCY/16177217 ")</f>
        <v xml:space="preserve">http://slimages.macys.com/is/image/MCY/16177217 </v>
      </c>
    </row>
    <row r="351" spans="1:9" ht="53" x14ac:dyDescent="0.2">
      <c r="A351" s="2" t="s">
        <v>649</v>
      </c>
      <c r="B351" s="3">
        <v>1</v>
      </c>
      <c r="C351" s="4">
        <v>28</v>
      </c>
      <c r="D351" s="3" t="s">
        <v>650</v>
      </c>
      <c r="E351" s="2" t="s">
        <v>17</v>
      </c>
      <c r="F351" s="2" t="s">
        <v>612</v>
      </c>
      <c r="G351" s="2" t="s">
        <v>13</v>
      </c>
      <c r="H351" s="2" t="s">
        <v>583</v>
      </c>
      <c r="I351" s="5" t="str">
        <f>HYPERLINK("http://slimages.macys.com/is/image/MCY/15883559 ")</f>
        <v xml:space="preserve">http://slimages.macys.com/is/image/MCY/15883559 </v>
      </c>
    </row>
    <row r="352" spans="1:9" ht="53" x14ac:dyDescent="0.2">
      <c r="A352" s="2" t="s">
        <v>651</v>
      </c>
      <c r="B352" s="3">
        <v>1</v>
      </c>
      <c r="C352" s="4">
        <v>28</v>
      </c>
      <c r="D352" s="3">
        <v>87594501</v>
      </c>
      <c r="E352" s="2" t="s">
        <v>17</v>
      </c>
      <c r="F352" s="2" t="s">
        <v>609</v>
      </c>
      <c r="G352" s="2" t="s">
        <v>13</v>
      </c>
      <c r="H352" s="2" t="s">
        <v>98</v>
      </c>
      <c r="I352" s="5" t="str">
        <f>HYPERLINK("http://slimages.macys.com/is/image/MCY/15883959 ")</f>
        <v xml:space="preserve">http://slimages.macys.com/is/image/MCY/15883959 </v>
      </c>
    </row>
    <row r="353" spans="1:9" ht="53" x14ac:dyDescent="0.2">
      <c r="A353" s="2" t="s">
        <v>613</v>
      </c>
      <c r="B353" s="3">
        <v>3</v>
      </c>
      <c r="C353" s="4">
        <v>84</v>
      </c>
      <c r="D353" s="3">
        <v>87594616</v>
      </c>
      <c r="E353" s="2" t="s">
        <v>17</v>
      </c>
      <c r="F353" s="2" t="s">
        <v>609</v>
      </c>
      <c r="G353" s="2" t="s">
        <v>13</v>
      </c>
      <c r="H353" s="2" t="s">
        <v>614</v>
      </c>
      <c r="I353" s="5" t="str">
        <f>HYPERLINK("http://slimages.macys.com/is/image/MCY/16177217 ")</f>
        <v xml:space="preserve">http://slimages.macys.com/is/image/MCY/16177217 </v>
      </c>
    </row>
    <row r="354" spans="1:9" ht="53" x14ac:dyDescent="0.2">
      <c r="A354" s="2" t="s">
        <v>652</v>
      </c>
      <c r="B354" s="3">
        <v>5</v>
      </c>
      <c r="C354" s="4">
        <v>140</v>
      </c>
      <c r="D354" s="3">
        <v>87994302</v>
      </c>
      <c r="E354" s="2" t="s">
        <v>335</v>
      </c>
      <c r="F354" s="2" t="s">
        <v>609</v>
      </c>
      <c r="G354" s="2" t="s">
        <v>13</v>
      </c>
      <c r="H354" s="2" t="s">
        <v>621</v>
      </c>
      <c r="I354" s="5" t="str">
        <f>HYPERLINK("http://slimages.macys.com/is/image/MCY/16177521 ")</f>
        <v xml:space="preserve">http://slimages.macys.com/is/image/MCY/16177521 </v>
      </c>
    </row>
    <row r="355" spans="1:9" ht="53" x14ac:dyDescent="0.2">
      <c r="A355" s="2" t="s">
        <v>613</v>
      </c>
      <c r="B355" s="3">
        <v>3</v>
      </c>
      <c r="C355" s="4">
        <v>84</v>
      </c>
      <c r="D355" s="3">
        <v>87594616</v>
      </c>
      <c r="E355" s="2" t="s">
        <v>77</v>
      </c>
      <c r="F355" s="2" t="s">
        <v>609</v>
      </c>
      <c r="G355" s="2" t="s">
        <v>13</v>
      </c>
      <c r="H355" s="2" t="s">
        <v>614</v>
      </c>
      <c r="I355" s="5" t="str">
        <f>HYPERLINK("http://slimages.macys.com/is/image/MCY/16177217 ")</f>
        <v xml:space="preserve">http://slimages.macys.com/is/image/MCY/16177217 </v>
      </c>
    </row>
    <row r="356" spans="1:9" ht="53" x14ac:dyDescent="0.2">
      <c r="A356" s="2" t="s">
        <v>653</v>
      </c>
      <c r="B356" s="3">
        <v>4</v>
      </c>
      <c r="C356" s="4">
        <v>112</v>
      </c>
      <c r="D356" s="3">
        <v>87994501</v>
      </c>
      <c r="E356" s="2" t="s">
        <v>323</v>
      </c>
      <c r="F356" s="2" t="s">
        <v>609</v>
      </c>
      <c r="G356" s="2" t="s">
        <v>13</v>
      </c>
      <c r="H356" s="2" t="s">
        <v>621</v>
      </c>
      <c r="I356" s="5" t="str">
        <f>HYPERLINK("http://slimages.macys.com/is/image/MCY/16178983 ")</f>
        <v xml:space="preserve">http://slimages.macys.com/is/image/MCY/16178983 </v>
      </c>
    </row>
    <row r="357" spans="1:9" ht="53" x14ac:dyDescent="0.2">
      <c r="A357" s="2" t="s">
        <v>654</v>
      </c>
      <c r="B357" s="3">
        <v>1</v>
      </c>
      <c r="C357" s="4">
        <v>28</v>
      </c>
      <c r="D357" s="3" t="s">
        <v>655</v>
      </c>
      <c r="E357" s="2" t="s">
        <v>11</v>
      </c>
      <c r="F357" s="2" t="s">
        <v>612</v>
      </c>
      <c r="G357" s="2" t="s">
        <v>13</v>
      </c>
      <c r="H357" s="2" t="s">
        <v>583</v>
      </c>
      <c r="I357" s="5" t="str">
        <f>HYPERLINK("http://slimages.macys.com/is/image/MCY/14373259 ")</f>
        <v xml:space="preserve">http://slimages.macys.com/is/image/MCY/14373259 </v>
      </c>
    </row>
    <row r="358" spans="1:9" ht="53" x14ac:dyDescent="0.2">
      <c r="A358" s="2" t="s">
        <v>653</v>
      </c>
      <c r="B358" s="3">
        <v>7</v>
      </c>
      <c r="C358" s="4">
        <v>196</v>
      </c>
      <c r="D358" s="3">
        <v>87994501</v>
      </c>
      <c r="E358" s="2" t="s">
        <v>77</v>
      </c>
      <c r="F358" s="2" t="s">
        <v>609</v>
      </c>
      <c r="G358" s="2" t="s">
        <v>13</v>
      </c>
      <c r="H358" s="2" t="s">
        <v>621</v>
      </c>
      <c r="I358" s="5" t="str">
        <f>HYPERLINK("http://slimages.macys.com/is/image/MCY/16178983 ")</f>
        <v xml:space="preserve">http://slimages.macys.com/is/image/MCY/16178983 </v>
      </c>
    </row>
    <row r="359" spans="1:9" ht="53" x14ac:dyDescent="0.2">
      <c r="A359" s="2" t="s">
        <v>656</v>
      </c>
      <c r="B359" s="3">
        <v>1</v>
      </c>
      <c r="C359" s="4">
        <v>28</v>
      </c>
      <c r="D359" s="3" t="s">
        <v>657</v>
      </c>
      <c r="E359" s="2" t="s">
        <v>11</v>
      </c>
      <c r="F359" s="2" t="s">
        <v>624</v>
      </c>
      <c r="G359" s="2" t="s">
        <v>13</v>
      </c>
      <c r="H359" s="2" t="s">
        <v>537</v>
      </c>
      <c r="I359" s="5" t="str">
        <f>HYPERLINK("http://slimages.macys.com/is/image/MCY/15883298 ")</f>
        <v xml:space="preserve">http://slimages.macys.com/is/image/MCY/15883298 </v>
      </c>
    </row>
    <row r="360" spans="1:9" ht="53" x14ac:dyDescent="0.2">
      <c r="A360" s="2" t="s">
        <v>634</v>
      </c>
      <c r="B360" s="3">
        <v>3</v>
      </c>
      <c r="C360" s="4">
        <v>84</v>
      </c>
      <c r="D360" s="3">
        <v>81994507</v>
      </c>
      <c r="E360" s="2" t="s">
        <v>11</v>
      </c>
      <c r="F360" s="2" t="s">
        <v>609</v>
      </c>
      <c r="G360" s="2" t="s">
        <v>13</v>
      </c>
      <c r="H360" s="2" t="s">
        <v>635</v>
      </c>
      <c r="I360" s="5" t="str">
        <f>HYPERLINK("http://slimages.macys.com/is/image/MCY/15882899 ")</f>
        <v xml:space="preserve">http://slimages.macys.com/is/image/MCY/15882899 </v>
      </c>
    </row>
    <row r="361" spans="1:9" ht="53" x14ac:dyDescent="0.2">
      <c r="A361" s="2" t="s">
        <v>653</v>
      </c>
      <c r="B361" s="3">
        <v>5</v>
      </c>
      <c r="C361" s="4">
        <v>140</v>
      </c>
      <c r="D361" s="3">
        <v>87994501</v>
      </c>
      <c r="E361" s="2" t="s">
        <v>318</v>
      </c>
      <c r="F361" s="2" t="s">
        <v>609</v>
      </c>
      <c r="G361" s="2" t="s">
        <v>13</v>
      </c>
      <c r="H361" s="2" t="s">
        <v>621</v>
      </c>
      <c r="I361" s="5" t="str">
        <f>HYPERLINK("http://slimages.macys.com/is/image/MCY/16178983 ")</f>
        <v xml:space="preserve">http://slimages.macys.com/is/image/MCY/16178983 </v>
      </c>
    </row>
    <row r="362" spans="1:9" ht="53" x14ac:dyDescent="0.2">
      <c r="A362" s="2" t="s">
        <v>617</v>
      </c>
      <c r="B362" s="3">
        <v>1</v>
      </c>
      <c r="C362" s="4">
        <v>28</v>
      </c>
      <c r="D362" s="3">
        <v>87994402</v>
      </c>
      <c r="E362" s="2" t="s">
        <v>77</v>
      </c>
      <c r="F362" s="2" t="s">
        <v>609</v>
      </c>
      <c r="G362" s="2" t="s">
        <v>13</v>
      </c>
      <c r="H362" s="2" t="s">
        <v>583</v>
      </c>
      <c r="I362" s="5" t="str">
        <f>HYPERLINK("http://slimages.macys.com/is/image/MCY/15884038 ")</f>
        <v xml:space="preserve">http://slimages.macys.com/is/image/MCY/15884038 </v>
      </c>
    </row>
    <row r="363" spans="1:9" ht="53" x14ac:dyDescent="0.2">
      <c r="A363" s="2" t="s">
        <v>658</v>
      </c>
      <c r="B363" s="3">
        <v>1</v>
      </c>
      <c r="C363" s="4">
        <v>28</v>
      </c>
      <c r="D363" s="3">
        <v>87994301</v>
      </c>
      <c r="E363" s="2" t="s">
        <v>77</v>
      </c>
      <c r="F363" s="2" t="s">
        <v>609</v>
      </c>
      <c r="G363" s="2" t="s">
        <v>13</v>
      </c>
      <c r="H363" s="2" t="s">
        <v>573</v>
      </c>
      <c r="I363" s="5" t="str">
        <f>HYPERLINK("http://slimages.macys.com/is/image/MCY/15883995 ")</f>
        <v xml:space="preserve">http://slimages.macys.com/is/image/MCY/15883995 </v>
      </c>
    </row>
    <row r="364" spans="1:9" ht="53" x14ac:dyDescent="0.2">
      <c r="A364" s="2" t="s">
        <v>658</v>
      </c>
      <c r="B364" s="3">
        <v>1</v>
      </c>
      <c r="C364" s="4">
        <v>28</v>
      </c>
      <c r="D364" s="3">
        <v>87994301</v>
      </c>
      <c r="E364" s="2" t="s">
        <v>116</v>
      </c>
      <c r="F364" s="2" t="s">
        <v>609</v>
      </c>
      <c r="G364" s="2" t="s">
        <v>13</v>
      </c>
      <c r="H364" s="2" t="s">
        <v>573</v>
      </c>
      <c r="I364" s="5" t="str">
        <f>HYPERLINK("http://slimages.macys.com/is/image/MCY/15883995 ")</f>
        <v xml:space="preserve">http://slimages.macys.com/is/image/MCY/15883995 </v>
      </c>
    </row>
    <row r="365" spans="1:9" ht="53" x14ac:dyDescent="0.2">
      <c r="A365" s="2" t="s">
        <v>653</v>
      </c>
      <c r="B365" s="3">
        <v>2</v>
      </c>
      <c r="C365" s="4">
        <v>56</v>
      </c>
      <c r="D365" s="3">
        <v>87994501</v>
      </c>
      <c r="E365" s="2" t="s">
        <v>195</v>
      </c>
      <c r="F365" s="2" t="s">
        <v>609</v>
      </c>
      <c r="G365" s="2" t="s">
        <v>13</v>
      </c>
      <c r="H365" s="2" t="s">
        <v>621</v>
      </c>
      <c r="I365" s="5" t="str">
        <f>HYPERLINK("http://slimages.macys.com/is/image/MCY/16178983 ")</f>
        <v xml:space="preserve">http://slimages.macys.com/is/image/MCY/16178983 </v>
      </c>
    </row>
    <row r="366" spans="1:9" ht="53" x14ac:dyDescent="0.2">
      <c r="A366" s="2" t="s">
        <v>659</v>
      </c>
      <c r="B366" s="3">
        <v>2</v>
      </c>
      <c r="C366" s="4">
        <v>56</v>
      </c>
      <c r="D366" s="3">
        <v>87594603</v>
      </c>
      <c r="E366" s="2" t="s">
        <v>77</v>
      </c>
      <c r="F366" s="2" t="s">
        <v>609</v>
      </c>
      <c r="G366" s="2" t="s">
        <v>13</v>
      </c>
      <c r="H366" s="2" t="s">
        <v>583</v>
      </c>
      <c r="I366" s="5" t="str">
        <f>HYPERLINK("http://slimages.macys.com/is/image/MCY/16026293 ")</f>
        <v xml:space="preserve">http://slimages.macys.com/is/image/MCY/16026293 </v>
      </c>
    </row>
    <row r="367" spans="1:9" ht="53" x14ac:dyDescent="0.2">
      <c r="A367" s="2" t="s">
        <v>660</v>
      </c>
      <c r="B367" s="3">
        <v>1</v>
      </c>
      <c r="C367" s="4">
        <v>28</v>
      </c>
      <c r="D367" s="3" t="s">
        <v>661</v>
      </c>
      <c r="E367" s="2" t="s">
        <v>335</v>
      </c>
      <c r="F367" s="2" t="s">
        <v>624</v>
      </c>
      <c r="G367" s="2" t="s">
        <v>13</v>
      </c>
      <c r="H367" s="2" t="s">
        <v>645</v>
      </c>
      <c r="I367" s="5" t="str">
        <f>HYPERLINK("http://slimages.macys.com/is/image/MCY/14573428 ")</f>
        <v xml:space="preserve">http://slimages.macys.com/is/image/MCY/14573428 </v>
      </c>
    </row>
    <row r="368" spans="1:9" ht="53" x14ac:dyDescent="0.2">
      <c r="A368" s="2" t="s">
        <v>662</v>
      </c>
      <c r="B368" s="3">
        <v>2</v>
      </c>
      <c r="C368" s="4">
        <v>56</v>
      </c>
      <c r="D368" s="3">
        <v>87993501</v>
      </c>
      <c r="E368" s="2" t="s">
        <v>195</v>
      </c>
      <c r="F368" s="2" t="s">
        <v>609</v>
      </c>
      <c r="G368" s="2" t="s">
        <v>13</v>
      </c>
      <c r="H368" s="2" t="s">
        <v>577</v>
      </c>
      <c r="I368" s="5" t="str">
        <f>HYPERLINK("http://slimages.macys.com/is/image/MCY/13909913 ")</f>
        <v xml:space="preserve">http://slimages.macys.com/is/image/MCY/13909913 </v>
      </c>
    </row>
    <row r="369" spans="1:9" ht="53" x14ac:dyDescent="0.2">
      <c r="A369" s="2" t="s">
        <v>663</v>
      </c>
      <c r="B369" s="3">
        <v>1</v>
      </c>
      <c r="C369" s="4">
        <v>28</v>
      </c>
      <c r="D369" s="3" t="s">
        <v>664</v>
      </c>
      <c r="E369" s="2" t="s">
        <v>116</v>
      </c>
      <c r="F369" s="2" t="s">
        <v>624</v>
      </c>
      <c r="G369" s="2" t="s">
        <v>13</v>
      </c>
      <c r="H369" s="2" t="s">
        <v>583</v>
      </c>
      <c r="I369" s="5" t="str">
        <f>HYPERLINK("http://slimages.macys.com/is/image/MCY/15919052 ")</f>
        <v xml:space="preserve">http://slimages.macys.com/is/image/MCY/15919052 </v>
      </c>
    </row>
    <row r="370" spans="1:9" ht="53" x14ac:dyDescent="0.2">
      <c r="A370" s="2" t="s">
        <v>653</v>
      </c>
      <c r="B370" s="3">
        <v>3</v>
      </c>
      <c r="C370" s="4">
        <v>84</v>
      </c>
      <c r="D370" s="3">
        <v>87994501</v>
      </c>
      <c r="E370" s="2" t="s">
        <v>17</v>
      </c>
      <c r="F370" s="2" t="s">
        <v>609</v>
      </c>
      <c r="G370" s="2" t="s">
        <v>13</v>
      </c>
      <c r="H370" s="2" t="s">
        <v>621</v>
      </c>
      <c r="I370" s="5" t="str">
        <f>HYPERLINK("http://slimages.macys.com/is/image/MCY/16178983 ")</f>
        <v xml:space="preserve">http://slimages.macys.com/is/image/MCY/16178983 </v>
      </c>
    </row>
    <row r="371" spans="1:9" ht="53" x14ac:dyDescent="0.2">
      <c r="A371" s="2" t="s">
        <v>662</v>
      </c>
      <c r="B371" s="3">
        <v>5</v>
      </c>
      <c r="C371" s="4">
        <v>140</v>
      </c>
      <c r="D371" s="3">
        <v>87993501</v>
      </c>
      <c r="E371" s="2" t="s">
        <v>318</v>
      </c>
      <c r="F371" s="2" t="s">
        <v>609</v>
      </c>
      <c r="G371" s="2" t="s">
        <v>13</v>
      </c>
      <c r="H371" s="2" t="s">
        <v>577</v>
      </c>
      <c r="I371" s="5" t="str">
        <f>HYPERLINK("http://slimages.macys.com/is/image/MCY/13909913 ")</f>
        <v xml:space="preserve">http://slimages.macys.com/is/image/MCY/13909913 </v>
      </c>
    </row>
    <row r="372" spans="1:9" ht="53" x14ac:dyDescent="0.2">
      <c r="A372" s="2" t="s">
        <v>608</v>
      </c>
      <c r="B372" s="3">
        <v>3</v>
      </c>
      <c r="C372" s="4">
        <v>84</v>
      </c>
      <c r="D372" s="3">
        <v>87994405</v>
      </c>
      <c r="E372" s="2" t="s">
        <v>318</v>
      </c>
      <c r="F372" s="2" t="s">
        <v>609</v>
      </c>
      <c r="G372" s="2" t="s">
        <v>13</v>
      </c>
      <c r="H372" s="2" t="s">
        <v>583</v>
      </c>
      <c r="I372" s="5" t="str">
        <f>HYPERLINK("http://slimages.macys.com/is/image/MCY/16090922 ")</f>
        <v xml:space="preserve">http://slimages.macys.com/is/image/MCY/16090922 </v>
      </c>
    </row>
    <row r="373" spans="1:9" ht="53" x14ac:dyDescent="0.2">
      <c r="A373" s="2" t="s">
        <v>653</v>
      </c>
      <c r="B373" s="3">
        <v>3</v>
      </c>
      <c r="C373" s="4">
        <v>84</v>
      </c>
      <c r="D373" s="3">
        <v>87994501</v>
      </c>
      <c r="E373" s="2" t="s">
        <v>161</v>
      </c>
      <c r="F373" s="2" t="s">
        <v>609</v>
      </c>
      <c r="G373" s="2" t="s">
        <v>13</v>
      </c>
      <c r="H373" s="2" t="s">
        <v>621</v>
      </c>
      <c r="I373" s="5" t="str">
        <f>HYPERLINK("http://slimages.macys.com/is/image/MCY/16178983 ")</f>
        <v xml:space="preserve">http://slimages.macys.com/is/image/MCY/16178983 </v>
      </c>
    </row>
    <row r="374" spans="1:9" ht="53" x14ac:dyDescent="0.2">
      <c r="A374" s="2" t="s">
        <v>652</v>
      </c>
      <c r="B374" s="3">
        <v>6</v>
      </c>
      <c r="C374" s="4">
        <v>168</v>
      </c>
      <c r="D374" s="3">
        <v>87994302</v>
      </c>
      <c r="E374" s="2" t="s">
        <v>323</v>
      </c>
      <c r="F374" s="2" t="s">
        <v>609</v>
      </c>
      <c r="G374" s="2" t="s">
        <v>13</v>
      </c>
      <c r="H374" s="2" t="s">
        <v>621</v>
      </c>
      <c r="I374" s="5" t="str">
        <f>HYPERLINK("http://slimages.macys.com/is/image/MCY/16177521 ")</f>
        <v xml:space="preserve">http://slimages.macys.com/is/image/MCY/16177521 </v>
      </c>
    </row>
    <row r="375" spans="1:9" ht="53" x14ac:dyDescent="0.2">
      <c r="A375" s="2" t="s">
        <v>658</v>
      </c>
      <c r="B375" s="3">
        <v>2</v>
      </c>
      <c r="C375" s="4">
        <v>56</v>
      </c>
      <c r="D375" s="3">
        <v>87994301</v>
      </c>
      <c r="E375" s="2" t="s">
        <v>161</v>
      </c>
      <c r="F375" s="2" t="s">
        <v>609</v>
      </c>
      <c r="G375" s="2" t="s">
        <v>13</v>
      </c>
      <c r="H375" s="2" t="s">
        <v>573</v>
      </c>
      <c r="I375" s="5" t="str">
        <f>HYPERLINK("http://slimages.macys.com/is/image/MCY/15883995 ")</f>
        <v xml:space="preserve">http://slimages.macys.com/is/image/MCY/15883995 </v>
      </c>
    </row>
    <row r="376" spans="1:9" ht="53" x14ac:dyDescent="0.2">
      <c r="A376" s="2" t="s">
        <v>665</v>
      </c>
      <c r="B376" s="3">
        <v>1</v>
      </c>
      <c r="C376" s="4">
        <v>28</v>
      </c>
      <c r="D376" s="3">
        <v>87994610</v>
      </c>
      <c r="E376" s="2" t="s">
        <v>72</v>
      </c>
      <c r="F376" s="2" t="s">
        <v>609</v>
      </c>
      <c r="G376" s="2" t="s">
        <v>13</v>
      </c>
      <c r="H376" s="2" t="s">
        <v>577</v>
      </c>
      <c r="I376" s="5" t="str">
        <f>HYPERLINK("http://slimages.macys.com/is/image/MCY/15295961 ")</f>
        <v xml:space="preserve">http://slimages.macys.com/is/image/MCY/15295961 </v>
      </c>
    </row>
    <row r="377" spans="1:9" ht="53" x14ac:dyDescent="0.2">
      <c r="A377" s="2" t="s">
        <v>666</v>
      </c>
      <c r="B377" s="3">
        <v>1</v>
      </c>
      <c r="C377" s="4">
        <v>28</v>
      </c>
      <c r="D377" s="3" t="s">
        <v>667</v>
      </c>
      <c r="E377" s="2" t="s">
        <v>330</v>
      </c>
      <c r="F377" s="2" t="s">
        <v>612</v>
      </c>
      <c r="G377" s="2" t="s">
        <v>13</v>
      </c>
      <c r="H377" s="2" t="s">
        <v>583</v>
      </c>
      <c r="I377" s="5" t="str">
        <f>HYPERLINK("http://slimages.macys.com/is/image/MCY/14827232 ")</f>
        <v xml:space="preserve">http://slimages.macys.com/is/image/MCY/14827232 </v>
      </c>
    </row>
    <row r="378" spans="1:9" ht="53" x14ac:dyDescent="0.2">
      <c r="A378" s="2" t="s">
        <v>668</v>
      </c>
      <c r="B378" s="3">
        <v>1</v>
      </c>
      <c r="C378" s="4">
        <v>28</v>
      </c>
      <c r="D378" s="3">
        <v>87973222</v>
      </c>
      <c r="E378" s="2" t="s">
        <v>195</v>
      </c>
      <c r="F378" s="2" t="s">
        <v>609</v>
      </c>
      <c r="G378" s="2" t="s">
        <v>13</v>
      </c>
      <c r="H378" s="2" t="s">
        <v>537</v>
      </c>
      <c r="I378" s="5" t="str">
        <f>HYPERLINK("http://slimages.macys.com/is/image/MCY/8884419 ")</f>
        <v xml:space="preserve">http://slimages.macys.com/is/image/MCY/8884419 </v>
      </c>
    </row>
    <row r="379" spans="1:9" ht="53" x14ac:dyDescent="0.2">
      <c r="A379" s="2" t="s">
        <v>669</v>
      </c>
      <c r="B379" s="3">
        <v>2</v>
      </c>
      <c r="C379" s="4">
        <v>56</v>
      </c>
      <c r="D379" s="3">
        <v>87984601</v>
      </c>
      <c r="E379" s="2" t="s">
        <v>72</v>
      </c>
      <c r="F379" s="2" t="s">
        <v>609</v>
      </c>
      <c r="G379" s="2" t="s">
        <v>13</v>
      </c>
      <c r="H379" s="2" t="s">
        <v>537</v>
      </c>
      <c r="I379" s="5" t="str">
        <f>HYPERLINK("http://slimages.macys.com/is/image/MCY/11251126 ")</f>
        <v xml:space="preserve">http://slimages.macys.com/is/image/MCY/11251126 </v>
      </c>
    </row>
    <row r="380" spans="1:9" ht="53" x14ac:dyDescent="0.2">
      <c r="A380" s="2" t="s">
        <v>670</v>
      </c>
      <c r="B380" s="3">
        <v>1</v>
      </c>
      <c r="C380" s="4">
        <v>23.8</v>
      </c>
      <c r="D380" s="3" t="s">
        <v>671</v>
      </c>
      <c r="E380" s="2" t="s">
        <v>335</v>
      </c>
      <c r="F380" s="2" t="s">
        <v>612</v>
      </c>
      <c r="G380" s="2" t="s">
        <v>13</v>
      </c>
      <c r="H380" s="2" t="s">
        <v>583</v>
      </c>
      <c r="I380" s="5" t="str">
        <f>HYPERLINK("http://slimages.macys.com/is/image/MCY/15882765 ")</f>
        <v xml:space="preserve">http://slimages.macys.com/is/image/MCY/15882765 </v>
      </c>
    </row>
    <row r="381" spans="1:9" ht="53" x14ac:dyDescent="0.2">
      <c r="A381" s="2" t="s">
        <v>672</v>
      </c>
      <c r="B381" s="3">
        <v>2</v>
      </c>
      <c r="C381" s="4">
        <v>56</v>
      </c>
      <c r="D381" s="3" t="s">
        <v>673</v>
      </c>
      <c r="E381" s="2" t="s">
        <v>17</v>
      </c>
      <c r="F381" s="2" t="s">
        <v>674</v>
      </c>
      <c r="G381" s="2" t="s">
        <v>13</v>
      </c>
      <c r="H381" s="2" t="s">
        <v>537</v>
      </c>
      <c r="I381" s="5" t="str">
        <f>HYPERLINK("http://slimages.macys.com/is/image/MCY/13036694 ")</f>
        <v xml:space="preserve">http://slimages.macys.com/is/image/MCY/13036694 </v>
      </c>
    </row>
    <row r="382" spans="1:9" ht="53" x14ac:dyDescent="0.2">
      <c r="A382" s="2" t="s">
        <v>675</v>
      </c>
      <c r="B382" s="3">
        <v>1</v>
      </c>
      <c r="C382" s="4">
        <v>28</v>
      </c>
      <c r="D382" s="3" t="s">
        <v>676</v>
      </c>
      <c r="E382" s="2" t="s">
        <v>33</v>
      </c>
      <c r="F382" s="2" t="s">
        <v>624</v>
      </c>
      <c r="G382" s="2" t="s">
        <v>13</v>
      </c>
      <c r="H382" s="2" t="s">
        <v>645</v>
      </c>
      <c r="I382" s="5" t="str">
        <f>HYPERLINK("http://slimages.macys.com/is/image/MCY/14532548 ")</f>
        <v xml:space="preserve">http://slimages.macys.com/is/image/MCY/14532548 </v>
      </c>
    </row>
    <row r="383" spans="1:9" ht="53" x14ac:dyDescent="0.2">
      <c r="A383" s="2" t="s">
        <v>617</v>
      </c>
      <c r="B383" s="3">
        <v>1</v>
      </c>
      <c r="C383" s="4">
        <v>28</v>
      </c>
      <c r="D383" s="3">
        <v>87994402</v>
      </c>
      <c r="E383" s="2" t="s">
        <v>116</v>
      </c>
      <c r="F383" s="2" t="s">
        <v>609</v>
      </c>
      <c r="G383" s="2" t="s">
        <v>13</v>
      </c>
      <c r="H383" s="2" t="s">
        <v>583</v>
      </c>
      <c r="I383" s="5" t="str">
        <f>HYPERLINK("http://slimages.macys.com/is/image/MCY/15884038 ")</f>
        <v xml:space="preserve">http://slimages.macys.com/is/image/MCY/15884038 </v>
      </c>
    </row>
    <row r="384" spans="1:9" ht="53" x14ac:dyDescent="0.2">
      <c r="A384" s="2" t="s">
        <v>677</v>
      </c>
      <c r="B384" s="3">
        <v>1</v>
      </c>
      <c r="C384" s="4">
        <v>27.99</v>
      </c>
      <c r="D384" s="3" t="s">
        <v>678</v>
      </c>
      <c r="E384" s="2" t="s">
        <v>17</v>
      </c>
      <c r="F384" s="2" t="s">
        <v>679</v>
      </c>
      <c r="G384" s="2" t="s">
        <v>13</v>
      </c>
      <c r="H384" s="2" t="s">
        <v>680</v>
      </c>
      <c r="I384" s="5" t="str">
        <f>HYPERLINK("http://slimages.macys.com/is/image/MCY/11758988 ")</f>
        <v xml:space="preserve">http://slimages.macys.com/is/image/MCY/11758988 </v>
      </c>
    </row>
    <row r="385" spans="1:9" ht="53" x14ac:dyDescent="0.2">
      <c r="A385" s="2" t="s">
        <v>681</v>
      </c>
      <c r="B385" s="3">
        <v>1</v>
      </c>
      <c r="C385" s="4">
        <v>27.99</v>
      </c>
      <c r="D385" s="3" t="s">
        <v>682</v>
      </c>
      <c r="E385" s="2" t="s">
        <v>17</v>
      </c>
      <c r="F385" s="2" t="s">
        <v>679</v>
      </c>
      <c r="G385" s="2" t="s">
        <v>13</v>
      </c>
      <c r="H385" s="2" t="s">
        <v>683</v>
      </c>
      <c r="I385" s="5" t="str">
        <f>HYPERLINK("http://slimages.macys.com/is/image/MCY/11759102 ")</f>
        <v xml:space="preserve">http://slimages.macys.com/is/image/MCY/11759102 </v>
      </c>
    </row>
    <row r="386" spans="1:9" ht="53" x14ac:dyDescent="0.2">
      <c r="A386" s="2" t="s">
        <v>684</v>
      </c>
      <c r="B386" s="3">
        <v>1</v>
      </c>
      <c r="C386" s="4">
        <v>27.99</v>
      </c>
      <c r="D386" s="3" t="s">
        <v>685</v>
      </c>
      <c r="E386" s="2" t="s">
        <v>318</v>
      </c>
      <c r="F386" s="2" t="s">
        <v>686</v>
      </c>
      <c r="G386" s="2" t="s">
        <v>13</v>
      </c>
      <c r="H386" s="2" t="s">
        <v>573</v>
      </c>
      <c r="I386" s="5" t="str">
        <f>HYPERLINK("http://slimages.macys.com/is/image/MCY/11759550 ")</f>
        <v xml:space="preserve">http://slimages.macys.com/is/image/MCY/11759550 </v>
      </c>
    </row>
    <row r="387" spans="1:9" ht="53" x14ac:dyDescent="0.2">
      <c r="A387" s="2" t="s">
        <v>687</v>
      </c>
      <c r="B387" s="3">
        <v>1</v>
      </c>
      <c r="C387" s="4">
        <v>27.99</v>
      </c>
      <c r="D387" s="3" t="s">
        <v>688</v>
      </c>
      <c r="E387" s="2" t="s">
        <v>167</v>
      </c>
      <c r="F387" s="2" t="s">
        <v>686</v>
      </c>
      <c r="G387" s="2" t="s">
        <v>13</v>
      </c>
      <c r="H387" s="2" t="s">
        <v>35</v>
      </c>
      <c r="I387" s="5" t="str">
        <f>HYPERLINK("http://slimages.macys.com/is/image/MCY/10891603 ")</f>
        <v xml:space="preserve">http://slimages.macys.com/is/image/MCY/10891603 </v>
      </c>
    </row>
    <row r="388" spans="1:9" ht="53" x14ac:dyDescent="0.2">
      <c r="A388" s="2" t="s">
        <v>689</v>
      </c>
      <c r="B388" s="3">
        <v>1</v>
      </c>
      <c r="C388" s="4">
        <v>27.99</v>
      </c>
      <c r="D388" s="3" t="s">
        <v>690</v>
      </c>
      <c r="E388" s="2" t="s">
        <v>17</v>
      </c>
      <c r="F388" s="2" t="s">
        <v>679</v>
      </c>
      <c r="G388" s="2" t="s">
        <v>13</v>
      </c>
      <c r="H388" s="2" t="s">
        <v>112</v>
      </c>
      <c r="I388" s="5" t="str">
        <f>HYPERLINK("http://slimages.macys.com/is/image/MCY/11759003 ")</f>
        <v xml:space="preserve">http://slimages.macys.com/is/image/MCY/11759003 </v>
      </c>
    </row>
    <row r="389" spans="1:9" ht="53" x14ac:dyDescent="0.2">
      <c r="A389" s="2" t="s">
        <v>691</v>
      </c>
      <c r="B389" s="3">
        <v>1</v>
      </c>
      <c r="C389" s="4">
        <v>27.99</v>
      </c>
      <c r="D389" s="3" t="s">
        <v>692</v>
      </c>
      <c r="E389" s="2" t="s">
        <v>17</v>
      </c>
      <c r="F389" s="2" t="s">
        <v>679</v>
      </c>
      <c r="G389" s="2" t="s">
        <v>13</v>
      </c>
      <c r="H389" s="2" t="s">
        <v>186</v>
      </c>
      <c r="I389" s="5" t="str">
        <f>HYPERLINK("http://slimages.macys.com/is/image/MCY/11759140 ")</f>
        <v xml:space="preserve">http://slimages.macys.com/is/image/MCY/11759140 </v>
      </c>
    </row>
    <row r="390" spans="1:9" ht="53" x14ac:dyDescent="0.2">
      <c r="A390" s="2" t="s">
        <v>693</v>
      </c>
      <c r="B390" s="3">
        <v>1</v>
      </c>
      <c r="C390" s="4">
        <v>27.99</v>
      </c>
      <c r="D390" s="3" t="s">
        <v>694</v>
      </c>
      <c r="E390" s="2" t="s">
        <v>17</v>
      </c>
      <c r="F390" s="2" t="s">
        <v>679</v>
      </c>
      <c r="G390" s="2" t="s">
        <v>13</v>
      </c>
      <c r="H390" s="2" t="s">
        <v>645</v>
      </c>
      <c r="I390" s="5" t="str">
        <f>HYPERLINK("http://slimages.macys.com/is/image/MCY/11282161 ")</f>
        <v xml:space="preserve">http://slimages.macys.com/is/image/MCY/11282161 </v>
      </c>
    </row>
    <row r="391" spans="1:9" ht="53" x14ac:dyDescent="0.2">
      <c r="A391" s="2" t="s">
        <v>695</v>
      </c>
      <c r="B391" s="3">
        <v>1</v>
      </c>
      <c r="C391" s="4">
        <v>27.99</v>
      </c>
      <c r="D391" s="3" t="s">
        <v>696</v>
      </c>
      <c r="E391" s="2" t="s">
        <v>17</v>
      </c>
      <c r="F391" s="2" t="s">
        <v>679</v>
      </c>
      <c r="G391" s="2" t="s">
        <v>13</v>
      </c>
      <c r="H391" s="2" t="s">
        <v>35</v>
      </c>
      <c r="I391" s="5" t="str">
        <f>HYPERLINK("http://slimages.macys.com/is/image/MCY/11758910 ")</f>
        <v xml:space="preserve">http://slimages.macys.com/is/image/MCY/11758910 </v>
      </c>
    </row>
    <row r="392" spans="1:9" ht="53" x14ac:dyDescent="0.2">
      <c r="A392" s="2" t="s">
        <v>697</v>
      </c>
      <c r="B392" s="3">
        <v>1</v>
      </c>
      <c r="C392" s="4">
        <v>27.99</v>
      </c>
      <c r="D392" s="3" t="s">
        <v>698</v>
      </c>
      <c r="E392" s="2" t="s">
        <v>234</v>
      </c>
      <c r="F392" s="2" t="s">
        <v>679</v>
      </c>
      <c r="G392" s="2" t="s">
        <v>13</v>
      </c>
      <c r="H392" s="2" t="s">
        <v>537</v>
      </c>
      <c r="I392" s="5" t="str">
        <f>HYPERLINK("http://slimages.macys.com/is/image/MCY/1967368 ")</f>
        <v xml:space="preserve">http://slimages.macys.com/is/image/MCY/1967368 </v>
      </c>
    </row>
    <row r="393" spans="1:9" ht="53" x14ac:dyDescent="0.2">
      <c r="A393" s="2" t="s">
        <v>699</v>
      </c>
      <c r="B393" s="3">
        <v>1</v>
      </c>
      <c r="C393" s="4">
        <v>59.5</v>
      </c>
      <c r="D393" s="3">
        <v>100068752</v>
      </c>
      <c r="E393" s="2" t="s">
        <v>197</v>
      </c>
      <c r="F393" s="2" t="s">
        <v>210</v>
      </c>
      <c r="G393" s="2" t="s">
        <v>13</v>
      </c>
      <c r="H393" s="2" t="s">
        <v>700</v>
      </c>
      <c r="I393" s="5" t="str">
        <f>HYPERLINK("http://slimages.macys.com/is/image/MCY/14573839 ")</f>
        <v xml:space="preserve">http://slimages.macys.com/is/image/MCY/14573839 </v>
      </c>
    </row>
    <row r="394" spans="1:9" ht="53" x14ac:dyDescent="0.2">
      <c r="A394" s="2" t="s">
        <v>701</v>
      </c>
      <c r="B394" s="3">
        <v>1</v>
      </c>
      <c r="C394" s="4">
        <v>23</v>
      </c>
      <c r="D394" s="3" t="s">
        <v>702</v>
      </c>
      <c r="E394" s="2" t="s">
        <v>77</v>
      </c>
      <c r="F394" s="2" t="s">
        <v>703</v>
      </c>
      <c r="G394" s="2" t="s">
        <v>13</v>
      </c>
      <c r="H394" s="2" t="s">
        <v>112</v>
      </c>
      <c r="I394" s="5" t="str">
        <f>HYPERLINK("http://slimages.macys.com/is/image/MCY/9836879 ")</f>
        <v xml:space="preserve">http://slimages.macys.com/is/image/MCY/9836879 </v>
      </c>
    </row>
    <row r="395" spans="1:9" ht="53" x14ac:dyDescent="0.2">
      <c r="A395" s="2" t="s">
        <v>704</v>
      </c>
      <c r="B395" s="3">
        <v>1</v>
      </c>
      <c r="C395" s="4">
        <v>23</v>
      </c>
      <c r="D395" s="3" t="s">
        <v>705</v>
      </c>
      <c r="E395" s="2" t="s">
        <v>17</v>
      </c>
      <c r="F395" s="2" t="s">
        <v>703</v>
      </c>
      <c r="G395" s="2" t="s">
        <v>13</v>
      </c>
      <c r="H395" s="2" t="s">
        <v>112</v>
      </c>
      <c r="I395" s="5" t="str">
        <f>HYPERLINK("http://slimages.macys.com/is/image/MCY/10267363 ")</f>
        <v xml:space="preserve">http://slimages.macys.com/is/image/MCY/10267363 </v>
      </c>
    </row>
    <row r="396" spans="1:9" ht="53" x14ac:dyDescent="0.2">
      <c r="A396" s="2" t="s">
        <v>706</v>
      </c>
      <c r="B396" s="3">
        <v>1</v>
      </c>
      <c r="C396" s="4">
        <v>25</v>
      </c>
      <c r="D396" s="3" t="s">
        <v>707</v>
      </c>
      <c r="E396" s="2" t="s">
        <v>310</v>
      </c>
      <c r="F396" s="2" t="s">
        <v>532</v>
      </c>
      <c r="G396" s="2" t="s">
        <v>13</v>
      </c>
      <c r="H396" s="2" t="s">
        <v>533</v>
      </c>
      <c r="I396" s="5" t="str">
        <f>HYPERLINK("http://slimages.macys.com/is/image/MCY/9710602 ")</f>
        <v xml:space="preserve">http://slimages.macys.com/is/image/MCY/9710602 </v>
      </c>
    </row>
    <row r="397" spans="1:9" ht="53" x14ac:dyDescent="0.2">
      <c r="A397" s="2" t="s">
        <v>706</v>
      </c>
      <c r="B397" s="3">
        <v>2</v>
      </c>
      <c r="C397" s="4">
        <v>50</v>
      </c>
      <c r="D397" s="3" t="s">
        <v>707</v>
      </c>
      <c r="E397" s="2" t="s">
        <v>310</v>
      </c>
      <c r="F397" s="2" t="s">
        <v>532</v>
      </c>
      <c r="G397" s="2" t="s">
        <v>13</v>
      </c>
      <c r="H397" s="2" t="s">
        <v>533</v>
      </c>
      <c r="I397" s="5" t="str">
        <f>HYPERLINK("http://slimages.macys.com/is/image/MCY/9710602 ")</f>
        <v xml:space="preserve">http://slimages.macys.com/is/image/MCY/9710602 </v>
      </c>
    </row>
    <row r="398" spans="1:9" ht="53" x14ac:dyDescent="0.2">
      <c r="A398" s="2" t="s">
        <v>706</v>
      </c>
      <c r="B398" s="3">
        <v>1</v>
      </c>
      <c r="C398" s="4">
        <v>25</v>
      </c>
      <c r="D398" s="3" t="s">
        <v>707</v>
      </c>
      <c r="E398" s="2" t="s">
        <v>310</v>
      </c>
      <c r="F398" s="2" t="s">
        <v>532</v>
      </c>
      <c r="G398" s="2" t="s">
        <v>13</v>
      </c>
      <c r="H398" s="2" t="s">
        <v>533</v>
      </c>
      <c r="I398" s="5" t="str">
        <f>HYPERLINK("http://slimages.macys.com/is/image/MCY/11544590 ")</f>
        <v xml:space="preserve">http://slimages.macys.com/is/image/MCY/11544590 </v>
      </c>
    </row>
    <row r="399" spans="1:9" ht="53" x14ac:dyDescent="0.2">
      <c r="A399" s="2" t="s">
        <v>706</v>
      </c>
      <c r="B399" s="3">
        <v>1</v>
      </c>
      <c r="C399" s="4">
        <v>25</v>
      </c>
      <c r="D399" s="3" t="s">
        <v>707</v>
      </c>
      <c r="E399" s="2" t="s">
        <v>310</v>
      </c>
      <c r="F399" s="2" t="s">
        <v>532</v>
      </c>
      <c r="G399" s="2" t="s">
        <v>13</v>
      </c>
      <c r="H399" s="2" t="s">
        <v>533</v>
      </c>
      <c r="I399" s="5" t="str">
        <f>HYPERLINK("http://slimages.macys.com/is/image/MCY/11544590 ")</f>
        <v xml:space="preserve">http://slimages.macys.com/is/image/MCY/11544590 </v>
      </c>
    </row>
    <row r="400" spans="1:9" ht="53" x14ac:dyDescent="0.2">
      <c r="A400" s="2" t="s">
        <v>706</v>
      </c>
      <c r="B400" s="3">
        <v>1</v>
      </c>
      <c r="C400" s="4">
        <v>25</v>
      </c>
      <c r="D400" s="3" t="s">
        <v>707</v>
      </c>
      <c r="E400" s="2" t="s">
        <v>708</v>
      </c>
      <c r="F400" s="2" t="s">
        <v>532</v>
      </c>
      <c r="G400" s="2" t="s">
        <v>13</v>
      </c>
      <c r="H400" s="2" t="s">
        <v>533</v>
      </c>
      <c r="I400" s="5" t="str">
        <f>HYPERLINK("http://slimages.macys.com/is/image/MCY/11544590 ")</f>
        <v xml:space="preserve">http://slimages.macys.com/is/image/MCY/11544590 </v>
      </c>
    </row>
    <row r="401" spans="1:9" ht="53" x14ac:dyDescent="0.2">
      <c r="A401" s="2" t="s">
        <v>709</v>
      </c>
      <c r="B401" s="3">
        <v>1</v>
      </c>
      <c r="C401" s="4">
        <v>37.99</v>
      </c>
      <c r="D401" s="3" t="s">
        <v>710</v>
      </c>
      <c r="E401" s="2" t="s">
        <v>77</v>
      </c>
      <c r="F401" s="2" t="s">
        <v>597</v>
      </c>
      <c r="G401" s="2" t="s">
        <v>13</v>
      </c>
      <c r="H401" s="2" t="s">
        <v>98</v>
      </c>
      <c r="I401" s="5" t="str">
        <f>HYPERLINK("http://slimages.macys.com/is/image/MCY/16477263 ")</f>
        <v xml:space="preserve">http://slimages.macys.com/is/image/MCY/16477263 </v>
      </c>
    </row>
    <row r="402" spans="1:9" ht="53" x14ac:dyDescent="0.2">
      <c r="A402" s="2" t="s">
        <v>709</v>
      </c>
      <c r="B402" s="3">
        <v>3</v>
      </c>
      <c r="C402" s="4">
        <v>113.97</v>
      </c>
      <c r="D402" s="3" t="s">
        <v>710</v>
      </c>
      <c r="E402" s="2" t="s">
        <v>77</v>
      </c>
      <c r="F402" s="2" t="s">
        <v>597</v>
      </c>
      <c r="G402" s="2" t="s">
        <v>13</v>
      </c>
      <c r="H402" s="2" t="s">
        <v>98</v>
      </c>
      <c r="I402" s="5" t="str">
        <f>HYPERLINK("http://slimages.macys.com/is/image/MCY/16477263 ")</f>
        <v xml:space="preserve">http://slimages.macys.com/is/image/MCY/16477263 </v>
      </c>
    </row>
    <row r="403" spans="1:9" ht="53" x14ac:dyDescent="0.2">
      <c r="A403" s="2" t="s">
        <v>711</v>
      </c>
      <c r="B403" s="3">
        <v>1</v>
      </c>
      <c r="C403" s="4">
        <v>25</v>
      </c>
      <c r="D403" s="3" t="s">
        <v>712</v>
      </c>
      <c r="E403" s="2" t="s">
        <v>33</v>
      </c>
      <c r="F403" s="2" t="s">
        <v>713</v>
      </c>
      <c r="G403" s="2" t="s">
        <v>13</v>
      </c>
      <c r="H403" s="2" t="s">
        <v>98</v>
      </c>
      <c r="I403" s="5" t="str">
        <f>HYPERLINK("http://slimages.macys.com/is/image/MCY/13859055 ")</f>
        <v xml:space="preserve">http://slimages.macys.com/is/image/MCY/13859055 </v>
      </c>
    </row>
    <row r="404" spans="1:9" ht="53" x14ac:dyDescent="0.2">
      <c r="A404" s="2" t="s">
        <v>714</v>
      </c>
      <c r="B404" s="3">
        <v>1</v>
      </c>
      <c r="C404" s="4">
        <v>25.5</v>
      </c>
      <c r="D404" s="3" t="s">
        <v>715</v>
      </c>
      <c r="E404" s="2" t="s">
        <v>161</v>
      </c>
      <c r="F404" s="2" t="s">
        <v>532</v>
      </c>
      <c r="G404" s="2" t="s">
        <v>13</v>
      </c>
      <c r="H404" s="2" t="s">
        <v>533</v>
      </c>
      <c r="I404" s="5" t="str">
        <f>HYPERLINK("http://slimages.macys.com/is/image/MCY/9804737 ")</f>
        <v xml:space="preserve">http://slimages.macys.com/is/image/MCY/9804737 </v>
      </c>
    </row>
    <row r="405" spans="1:9" ht="53" x14ac:dyDescent="0.2">
      <c r="A405" s="2" t="s">
        <v>714</v>
      </c>
      <c r="B405" s="3">
        <v>2</v>
      </c>
      <c r="C405" s="4">
        <v>51</v>
      </c>
      <c r="D405" s="3" t="s">
        <v>715</v>
      </c>
      <c r="E405" s="2" t="s">
        <v>161</v>
      </c>
      <c r="F405" s="2" t="s">
        <v>532</v>
      </c>
      <c r="G405" s="2" t="s">
        <v>13</v>
      </c>
      <c r="H405" s="2" t="s">
        <v>533</v>
      </c>
      <c r="I405" s="5" t="str">
        <f>HYPERLINK("http://slimages.macys.com/is/image/MCY/9804737 ")</f>
        <v xml:space="preserve">http://slimages.macys.com/is/image/MCY/9804737 </v>
      </c>
    </row>
    <row r="406" spans="1:9" ht="53" x14ac:dyDescent="0.2">
      <c r="A406" s="2" t="s">
        <v>714</v>
      </c>
      <c r="B406" s="3">
        <v>1</v>
      </c>
      <c r="C406" s="4">
        <v>25.5</v>
      </c>
      <c r="D406" s="3" t="s">
        <v>715</v>
      </c>
      <c r="E406" s="2" t="s">
        <v>161</v>
      </c>
      <c r="F406" s="2" t="s">
        <v>532</v>
      </c>
      <c r="G406" s="2" t="s">
        <v>13</v>
      </c>
      <c r="H406" s="2" t="s">
        <v>533</v>
      </c>
      <c r="I406" s="5" t="str">
        <f>HYPERLINK("http://slimages.macys.com/is/image/MCY/9804737 ")</f>
        <v xml:space="preserve">http://slimages.macys.com/is/image/MCY/9804737 </v>
      </c>
    </row>
    <row r="407" spans="1:9" ht="53" x14ac:dyDescent="0.2">
      <c r="A407" s="2" t="s">
        <v>716</v>
      </c>
      <c r="B407" s="3">
        <v>1</v>
      </c>
      <c r="C407" s="4">
        <v>25.5</v>
      </c>
      <c r="D407" s="3" t="s">
        <v>717</v>
      </c>
      <c r="E407" s="2" t="s">
        <v>330</v>
      </c>
      <c r="F407" s="2" t="s">
        <v>532</v>
      </c>
      <c r="G407" s="2" t="s">
        <v>13</v>
      </c>
      <c r="H407" s="2" t="s">
        <v>533</v>
      </c>
      <c r="I407" s="5" t="str">
        <f>HYPERLINK("http://slimages.macys.com/is/image/MCY/11518029 ")</f>
        <v xml:space="preserve">http://slimages.macys.com/is/image/MCY/11518029 </v>
      </c>
    </row>
    <row r="408" spans="1:9" ht="53" x14ac:dyDescent="0.2">
      <c r="A408" s="2" t="s">
        <v>714</v>
      </c>
      <c r="B408" s="3">
        <v>1</v>
      </c>
      <c r="C408" s="4">
        <v>25.5</v>
      </c>
      <c r="D408" s="3" t="s">
        <v>715</v>
      </c>
      <c r="E408" s="2" t="s">
        <v>161</v>
      </c>
      <c r="F408" s="2" t="s">
        <v>532</v>
      </c>
      <c r="G408" s="2" t="s">
        <v>13</v>
      </c>
      <c r="H408" s="2" t="s">
        <v>533</v>
      </c>
      <c r="I408" s="5" t="str">
        <f>HYPERLINK("http://slimages.macys.com/is/image/MCY/9804737 ")</f>
        <v xml:space="preserve">http://slimages.macys.com/is/image/MCY/9804737 </v>
      </c>
    </row>
    <row r="409" spans="1:9" ht="53" x14ac:dyDescent="0.2">
      <c r="A409" s="2" t="s">
        <v>714</v>
      </c>
      <c r="B409" s="3">
        <v>1</v>
      </c>
      <c r="C409" s="4">
        <v>25.5</v>
      </c>
      <c r="D409" s="3" t="s">
        <v>715</v>
      </c>
      <c r="E409" s="2" t="s">
        <v>161</v>
      </c>
      <c r="F409" s="2" t="s">
        <v>532</v>
      </c>
      <c r="G409" s="2" t="s">
        <v>13</v>
      </c>
      <c r="H409" s="2" t="s">
        <v>533</v>
      </c>
      <c r="I409" s="5" t="str">
        <f>HYPERLINK("http://slimages.macys.com/is/image/MCY/9804737 ")</f>
        <v xml:space="preserve">http://slimages.macys.com/is/image/MCY/9804737 </v>
      </c>
    </row>
    <row r="410" spans="1:9" ht="53" x14ac:dyDescent="0.2">
      <c r="A410" s="2" t="s">
        <v>718</v>
      </c>
      <c r="B410" s="3">
        <v>1</v>
      </c>
      <c r="C410" s="4">
        <v>27.99</v>
      </c>
      <c r="D410" s="3" t="s">
        <v>719</v>
      </c>
      <c r="E410" s="2" t="s">
        <v>77</v>
      </c>
      <c r="F410" s="2" t="s">
        <v>686</v>
      </c>
      <c r="G410" s="2" t="s">
        <v>13</v>
      </c>
      <c r="H410" s="2" t="s">
        <v>35</v>
      </c>
      <c r="I410" s="5" t="str">
        <f>HYPERLINK("http://slimages.macys.com/is/image/MCY/14815123 ")</f>
        <v xml:space="preserve">http://slimages.macys.com/is/image/MCY/14815123 </v>
      </c>
    </row>
    <row r="411" spans="1:9" ht="53" x14ac:dyDescent="0.2">
      <c r="A411" s="2" t="s">
        <v>714</v>
      </c>
      <c r="B411" s="3">
        <v>1</v>
      </c>
      <c r="C411" s="4">
        <v>25.5</v>
      </c>
      <c r="D411" s="3" t="s">
        <v>715</v>
      </c>
      <c r="E411" s="2" t="s">
        <v>161</v>
      </c>
      <c r="F411" s="2" t="s">
        <v>532</v>
      </c>
      <c r="G411" s="2" t="s">
        <v>13</v>
      </c>
      <c r="H411" s="2" t="s">
        <v>533</v>
      </c>
      <c r="I411" s="5" t="str">
        <f>HYPERLINK("http://slimages.macys.com/is/image/MCY/9804737 ")</f>
        <v xml:space="preserve">http://slimages.macys.com/is/image/MCY/9804737 </v>
      </c>
    </row>
    <row r="412" spans="1:9" ht="53" x14ac:dyDescent="0.2">
      <c r="A412" s="2" t="s">
        <v>720</v>
      </c>
      <c r="B412" s="3">
        <v>1</v>
      </c>
      <c r="C412" s="4">
        <v>34.99</v>
      </c>
      <c r="D412" s="3" t="s">
        <v>721</v>
      </c>
      <c r="E412" s="2" t="s">
        <v>17</v>
      </c>
      <c r="F412" s="2" t="s">
        <v>449</v>
      </c>
      <c r="G412" s="2" t="s">
        <v>13</v>
      </c>
      <c r="H412" s="2" t="s">
        <v>378</v>
      </c>
      <c r="I412" s="5" t="str">
        <f>HYPERLINK("http://slimages.macys.com/is/image/MCY/13828317 ")</f>
        <v xml:space="preserve">http://slimages.macys.com/is/image/MCY/13828317 </v>
      </c>
    </row>
    <row r="413" spans="1:9" ht="53" x14ac:dyDescent="0.2">
      <c r="A413" s="2" t="s">
        <v>722</v>
      </c>
      <c r="B413" s="3">
        <v>1</v>
      </c>
      <c r="C413" s="4">
        <v>37.99</v>
      </c>
      <c r="D413" s="3" t="s">
        <v>723</v>
      </c>
      <c r="E413" s="2" t="s">
        <v>17</v>
      </c>
      <c r="F413" s="2" t="s">
        <v>597</v>
      </c>
      <c r="G413" s="2" t="s">
        <v>13</v>
      </c>
      <c r="H413" s="2" t="s">
        <v>98</v>
      </c>
      <c r="I413" s="5" t="str">
        <f>HYPERLINK("http://slimages.macys.com/is/image/MCY/16477463 ")</f>
        <v xml:space="preserve">http://slimages.macys.com/is/image/MCY/16477463 </v>
      </c>
    </row>
    <row r="414" spans="1:9" ht="53" x14ac:dyDescent="0.2">
      <c r="A414" s="2" t="s">
        <v>722</v>
      </c>
      <c r="B414" s="3">
        <v>1</v>
      </c>
      <c r="C414" s="4">
        <v>37.99</v>
      </c>
      <c r="D414" s="3" t="s">
        <v>723</v>
      </c>
      <c r="E414" s="2" t="s">
        <v>17</v>
      </c>
      <c r="F414" s="2" t="s">
        <v>597</v>
      </c>
      <c r="G414" s="2" t="s">
        <v>13</v>
      </c>
      <c r="H414" s="2" t="s">
        <v>98</v>
      </c>
      <c r="I414" s="5" t="str">
        <f>HYPERLINK("http://slimages.macys.com/is/image/MCY/16477463 ")</f>
        <v xml:space="preserve">http://slimages.macys.com/is/image/MCY/16477463 </v>
      </c>
    </row>
    <row r="415" spans="1:9" ht="53" x14ac:dyDescent="0.2">
      <c r="A415" s="2" t="s">
        <v>701</v>
      </c>
      <c r="B415" s="3">
        <v>2</v>
      </c>
      <c r="C415" s="4">
        <v>46</v>
      </c>
      <c r="D415" s="3" t="s">
        <v>702</v>
      </c>
      <c r="E415" s="2" t="s">
        <v>161</v>
      </c>
      <c r="F415" s="2" t="s">
        <v>703</v>
      </c>
      <c r="G415" s="2" t="s">
        <v>13</v>
      </c>
      <c r="H415" s="2" t="s">
        <v>112</v>
      </c>
      <c r="I415" s="5" t="str">
        <f>HYPERLINK("http://slimages.macys.com/is/image/MCY/9836879 ")</f>
        <v xml:space="preserve">http://slimages.macys.com/is/image/MCY/9836879 </v>
      </c>
    </row>
    <row r="416" spans="1:9" ht="53" x14ac:dyDescent="0.2">
      <c r="A416" s="2" t="s">
        <v>724</v>
      </c>
      <c r="B416" s="3">
        <v>1</v>
      </c>
      <c r="C416" s="4">
        <v>31.99</v>
      </c>
      <c r="D416" s="3" t="s">
        <v>725</v>
      </c>
      <c r="E416" s="2" t="s">
        <v>17</v>
      </c>
      <c r="F416" s="2" t="s">
        <v>449</v>
      </c>
      <c r="G416" s="2" t="s">
        <v>13</v>
      </c>
      <c r="H416" s="2" t="s">
        <v>378</v>
      </c>
      <c r="I416" s="5" t="str">
        <f>HYPERLINK("http://slimages.macys.com/is/image/MCY/16148833 ")</f>
        <v xml:space="preserve">http://slimages.macys.com/is/image/MCY/16148833 </v>
      </c>
    </row>
    <row r="417" spans="1:9" ht="53" x14ac:dyDescent="0.2">
      <c r="A417" s="2" t="s">
        <v>724</v>
      </c>
      <c r="B417" s="3">
        <v>1</v>
      </c>
      <c r="C417" s="4">
        <v>31.99</v>
      </c>
      <c r="D417" s="3" t="s">
        <v>725</v>
      </c>
      <c r="E417" s="2" t="s">
        <v>17</v>
      </c>
      <c r="F417" s="2" t="s">
        <v>449</v>
      </c>
      <c r="G417" s="2" t="s">
        <v>13</v>
      </c>
      <c r="H417" s="2" t="s">
        <v>378</v>
      </c>
      <c r="I417" s="5" t="str">
        <f>HYPERLINK("http://slimages.macys.com/is/image/MCY/16148833 ")</f>
        <v xml:space="preserve">http://slimages.macys.com/is/image/MCY/16148833 </v>
      </c>
    </row>
    <row r="418" spans="1:9" ht="53" x14ac:dyDescent="0.2">
      <c r="A418" s="2" t="s">
        <v>706</v>
      </c>
      <c r="B418" s="3">
        <v>1</v>
      </c>
      <c r="C418" s="4">
        <v>25</v>
      </c>
      <c r="D418" s="3" t="s">
        <v>707</v>
      </c>
      <c r="E418" s="2" t="s">
        <v>576</v>
      </c>
      <c r="F418" s="2" t="s">
        <v>532</v>
      </c>
      <c r="G418" s="2" t="s">
        <v>13</v>
      </c>
      <c r="H418" s="2" t="s">
        <v>726</v>
      </c>
      <c r="I418" s="5" t="str">
        <f>HYPERLINK("http://slimages.macys.com/is/image/MCY/11544584 ")</f>
        <v xml:space="preserve">http://slimages.macys.com/is/image/MCY/11544584 </v>
      </c>
    </row>
    <row r="419" spans="1:9" ht="53" x14ac:dyDescent="0.2">
      <c r="A419" s="2" t="s">
        <v>727</v>
      </c>
      <c r="B419" s="3">
        <v>1</v>
      </c>
      <c r="C419" s="4">
        <v>29.99</v>
      </c>
      <c r="D419" s="3">
        <v>10007025400</v>
      </c>
      <c r="E419" s="2" t="s">
        <v>17</v>
      </c>
      <c r="F419" s="2" t="s">
        <v>728</v>
      </c>
      <c r="G419" s="2" t="s">
        <v>13</v>
      </c>
      <c r="H419" s="2" t="s">
        <v>583</v>
      </c>
      <c r="I419" s="5" t="str">
        <f>HYPERLINK("http://slimages.macys.com/is/image/MCY/12877416 ")</f>
        <v xml:space="preserve">http://slimages.macys.com/is/image/MCY/12877416 </v>
      </c>
    </row>
    <row r="420" spans="1:9" ht="53" x14ac:dyDescent="0.2">
      <c r="A420" s="2" t="s">
        <v>729</v>
      </c>
      <c r="B420" s="3">
        <v>1</v>
      </c>
      <c r="C420" s="4">
        <v>29.99</v>
      </c>
      <c r="D420" s="3">
        <v>10006498900</v>
      </c>
      <c r="E420" s="2" t="s">
        <v>323</v>
      </c>
      <c r="F420" s="2" t="s">
        <v>728</v>
      </c>
      <c r="G420" s="2" t="s">
        <v>13</v>
      </c>
      <c r="H420" s="2" t="s">
        <v>583</v>
      </c>
      <c r="I420" s="5" t="str">
        <f>HYPERLINK("http://slimages.macys.com/is/image/MCY/12284639 ")</f>
        <v xml:space="preserve">http://slimages.macys.com/is/image/MCY/12284639 </v>
      </c>
    </row>
    <row r="421" spans="1:9" ht="53" x14ac:dyDescent="0.2">
      <c r="A421" s="2" t="s">
        <v>730</v>
      </c>
      <c r="B421" s="3">
        <v>1</v>
      </c>
      <c r="C421" s="4">
        <v>29.99</v>
      </c>
      <c r="D421" s="3">
        <v>10007808700</v>
      </c>
      <c r="E421" s="2" t="s">
        <v>17</v>
      </c>
      <c r="F421" s="2" t="s">
        <v>728</v>
      </c>
      <c r="G421" s="2" t="s">
        <v>13</v>
      </c>
      <c r="H421" s="2" t="s">
        <v>731</v>
      </c>
      <c r="I421" s="5" t="str">
        <f>HYPERLINK("http://slimages.macys.com/is/image/MCY/15132836 ")</f>
        <v xml:space="preserve">http://slimages.macys.com/is/image/MCY/15132836 </v>
      </c>
    </row>
    <row r="422" spans="1:9" ht="53" x14ac:dyDescent="0.2">
      <c r="A422" s="2" t="s">
        <v>730</v>
      </c>
      <c r="B422" s="3">
        <v>1</v>
      </c>
      <c r="C422" s="4">
        <v>29.99</v>
      </c>
      <c r="D422" s="3">
        <v>10007808700</v>
      </c>
      <c r="E422" s="2" t="s">
        <v>11</v>
      </c>
      <c r="F422" s="2" t="s">
        <v>728</v>
      </c>
      <c r="G422" s="2" t="s">
        <v>13</v>
      </c>
      <c r="H422" s="2" t="s">
        <v>731</v>
      </c>
      <c r="I422" s="5" t="str">
        <f>HYPERLINK("http://slimages.macys.com/is/image/MCY/15132836 ")</f>
        <v xml:space="preserve">http://slimages.macys.com/is/image/MCY/15132836 </v>
      </c>
    </row>
    <row r="423" spans="1:9" ht="53" x14ac:dyDescent="0.2">
      <c r="A423" s="2" t="s">
        <v>732</v>
      </c>
      <c r="B423" s="3">
        <v>1</v>
      </c>
      <c r="C423" s="4">
        <v>23</v>
      </c>
      <c r="D423" s="3" t="s">
        <v>733</v>
      </c>
      <c r="E423" s="2" t="s">
        <v>17</v>
      </c>
      <c r="F423" s="2" t="s">
        <v>703</v>
      </c>
      <c r="G423" s="2" t="s">
        <v>13</v>
      </c>
      <c r="H423" s="2" t="s">
        <v>112</v>
      </c>
      <c r="I423" s="5" t="str">
        <f>HYPERLINK("http://slimages.macys.com/is/image/MCY/9512821 ")</f>
        <v xml:space="preserve">http://slimages.macys.com/is/image/MCY/9512821 </v>
      </c>
    </row>
    <row r="424" spans="1:9" ht="53" x14ac:dyDescent="0.2">
      <c r="A424" s="2" t="s">
        <v>734</v>
      </c>
      <c r="B424" s="3">
        <v>1</v>
      </c>
      <c r="C424" s="4">
        <v>23</v>
      </c>
      <c r="D424" s="3" t="s">
        <v>735</v>
      </c>
      <c r="E424" s="2" t="s">
        <v>161</v>
      </c>
      <c r="F424" s="2" t="s">
        <v>703</v>
      </c>
      <c r="G424" s="2" t="s">
        <v>13</v>
      </c>
      <c r="H424" s="2" t="s">
        <v>302</v>
      </c>
      <c r="I424" s="5" t="str">
        <f>HYPERLINK("http://slimages.macys.com/is/image/MCY/11532580 ")</f>
        <v xml:space="preserve">http://slimages.macys.com/is/image/MCY/11532580 </v>
      </c>
    </row>
    <row r="425" spans="1:9" ht="53" x14ac:dyDescent="0.2">
      <c r="A425" s="2" t="s">
        <v>734</v>
      </c>
      <c r="B425" s="3">
        <v>1</v>
      </c>
      <c r="C425" s="4">
        <v>23</v>
      </c>
      <c r="D425" s="3" t="s">
        <v>735</v>
      </c>
      <c r="E425" s="2" t="s">
        <v>77</v>
      </c>
      <c r="F425" s="2" t="s">
        <v>703</v>
      </c>
      <c r="G425" s="2" t="s">
        <v>13</v>
      </c>
      <c r="H425" s="2" t="s">
        <v>302</v>
      </c>
      <c r="I425" s="5" t="str">
        <f>HYPERLINK("http://slimages.macys.com/is/image/MCY/9748928 ")</f>
        <v xml:space="preserve">http://slimages.macys.com/is/image/MCY/9748928 </v>
      </c>
    </row>
    <row r="426" spans="1:9" ht="53" x14ac:dyDescent="0.2">
      <c r="A426" s="2" t="s">
        <v>734</v>
      </c>
      <c r="B426" s="3">
        <v>1</v>
      </c>
      <c r="C426" s="4">
        <v>23</v>
      </c>
      <c r="D426" s="3" t="s">
        <v>735</v>
      </c>
      <c r="E426" s="2" t="s">
        <v>77</v>
      </c>
      <c r="F426" s="2" t="s">
        <v>703</v>
      </c>
      <c r="G426" s="2" t="s">
        <v>13</v>
      </c>
      <c r="H426" s="2" t="s">
        <v>302</v>
      </c>
      <c r="I426" s="5" t="str">
        <f>HYPERLINK("http://slimages.macys.com/is/image/MCY/9748928 ")</f>
        <v xml:space="preserve">http://slimages.macys.com/is/image/MCY/9748928 </v>
      </c>
    </row>
    <row r="427" spans="1:9" ht="53" x14ac:dyDescent="0.2">
      <c r="A427" s="2" t="s">
        <v>736</v>
      </c>
      <c r="B427" s="3">
        <v>1</v>
      </c>
      <c r="C427" s="4">
        <v>24</v>
      </c>
      <c r="D427" s="3">
        <v>100013780</v>
      </c>
      <c r="E427" s="2" t="s">
        <v>106</v>
      </c>
      <c r="F427" s="2" t="s">
        <v>737</v>
      </c>
      <c r="G427" s="2" t="s">
        <v>13</v>
      </c>
      <c r="H427" s="2" t="s">
        <v>112</v>
      </c>
      <c r="I427" s="5" t="str">
        <f>HYPERLINK("http://slimages.macys.com/is/image/MCY/14427005 ")</f>
        <v xml:space="preserve">http://slimages.macys.com/is/image/MCY/14427005 </v>
      </c>
    </row>
    <row r="428" spans="1:9" ht="53" x14ac:dyDescent="0.2">
      <c r="A428" s="2" t="s">
        <v>738</v>
      </c>
      <c r="B428" s="3">
        <v>1</v>
      </c>
      <c r="C428" s="4">
        <v>31.99</v>
      </c>
      <c r="D428" s="3" t="s">
        <v>739</v>
      </c>
      <c r="E428" s="2" t="s">
        <v>17</v>
      </c>
      <c r="F428" s="2" t="s">
        <v>449</v>
      </c>
      <c r="G428" s="2"/>
      <c r="H428" s="2"/>
      <c r="I428" s="5" t="str">
        <f>HYPERLINK("http://slimages.macys.com/is/image/MCY/1318045 ")</f>
        <v xml:space="preserve">http://slimages.macys.com/is/image/MCY/1318045 </v>
      </c>
    </row>
    <row r="429" spans="1:9" ht="118" x14ac:dyDescent="0.2">
      <c r="A429" s="2" t="s">
        <v>740</v>
      </c>
      <c r="B429" s="3">
        <v>1</v>
      </c>
      <c r="C429" s="4">
        <v>24</v>
      </c>
      <c r="D429" s="3" t="s">
        <v>741</v>
      </c>
      <c r="E429" s="2"/>
      <c r="F429" s="2" t="s">
        <v>742</v>
      </c>
      <c r="G429" s="2" t="s">
        <v>13</v>
      </c>
      <c r="H429" s="2" t="s">
        <v>743</v>
      </c>
      <c r="I429" s="5" t="str">
        <f>HYPERLINK("http://slimages.macys.com/is/image/MCY/12751225 ")</f>
        <v xml:space="preserve">http://slimages.macys.com/is/image/MCY/12751225 </v>
      </c>
    </row>
    <row r="430" spans="1:9" ht="66" x14ac:dyDescent="0.2">
      <c r="A430" s="2" t="s">
        <v>744</v>
      </c>
      <c r="B430" s="3">
        <v>1</v>
      </c>
      <c r="C430" s="4">
        <v>34.99</v>
      </c>
      <c r="D430" s="3" t="s">
        <v>745</v>
      </c>
      <c r="E430" s="2" t="s">
        <v>203</v>
      </c>
      <c r="F430" s="2" t="s">
        <v>521</v>
      </c>
      <c r="G430" s="2" t="s">
        <v>13</v>
      </c>
      <c r="H430" s="2" t="s">
        <v>746</v>
      </c>
      <c r="I430" s="5" t="str">
        <f>HYPERLINK("http://slimages.macys.com/is/image/MCY/11946871 ")</f>
        <v xml:space="preserve">http://slimages.macys.com/is/image/MCY/11946871 </v>
      </c>
    </row>
    <row r="431" spans="1:9" ht="53" x14ac:dyDescent="0.2">
      <c r="A431" s="2" t="s">
        <v>747</v>
      </c>
      <c r="B431" s="3">
        <v>1</v>
      </c>
      <c r="C431" s="4">
        <v>23</v>
      </c>
      <c r="D431" s="3" t="s">
        <v>748</v>
      </c>
      <c r="E431" s="2" t="s">
        <v>33</v>
      </c>
      <c r="F431" s="2" t="s">
        <v>703</v>
      </c>
      <c r="G431" s="2" t="s">
        <v>13</v>
      </c>
      <c r="H431" s="2" t="s">
        <v>98</v>
      </c>
      <c r="I431" s="5" t="str">
        <f>HYPERLINK("http://slimages.macys.com/is/image/MCY/14532125 ")</f>
        <v xml:space="preserve">http://slimages.macys.com/is/image/MCY/14532125 </v>
      </c>
    </row>
    <row r="432" spans="1:9" ht="53" x14ac:dyDescent="0.2">
      <c r="A432" s="2" t="s">
        <v>749</v>
      </c>
      <c r="B432" s="3">
        <v>2</v>
      </c>
      <c r="C432" s="4">
        <v>63.98</v>
      </c>
      <c r="D432" s="3" t="s">
        <v>750</v>
      </c>
      <c r="E432" s="2" t="s">
        <v>167</v>
      </c>
      <c r="F432" s="2" t="s">
        <v>449</v>
      </c>
      <c r="G432" s="2" t="s">
        <v>13</v>
      </c>
      <c r="H432" s="2" t="s">
        <v>378</v>
      </c>
      <c r="I432" s="5" t="str">
        <f>HYPERLINK("http://slimages.macys.com/is/image/MCY/16148883 ")</f>
        <v xml:space="preserve">http://slimages.macys.com/is/image/MCY/16148883 </v>
      </c>
    </row>
    <row r="433" spans="1:9" ht="53" x14ac:dyDescent="0.2">
      <c r="A433" s="2" t="s">
        <v>749</v>
      </c>
      <c r="B433" s="3">
        <v>1</v>
      </c>
      <c r="C433" s="4">
        <v>31.99</v>
      </c>
      <c r="D433" s="3" t="s">
        <v>750</v>
      </c>
      <c r="E433" s="2" t="s">
        <v>167</v>
      </c>
      <c r="F433" s="2" t="s">
        <v>449</v>
      </c>
      <c r="G433" s="2" t="s">
        <v>13</v>
      </c>
      <c r="H433" s="2" t="s">
        <v>378</v>
      </c>
      <c r="I433" s="5" t="str">
        <f>HYPERLINK("http://slimages.macys.com/is/image/MCY/16148883 ")</f>
        <v xml:space="preserve">http://slimages.macys.com/is/image/MCY/16148883 </v>
      </c>
    </row>
    <row r="434" spans="1:9" ht="53" x14ac:dyDescent="0.2">
      <c r="A434" s="2" t="s">
        <v>751</v>
      </c>
      <c r="B434" s="3">
        <v>1</v>
      </c>
      <c r="C434" s="4">
        <v>23</v>
      </c>
      <c r="D434" s="3" t="s">
        <v>752</v>
      </c>
      <c r="E434" s="2" t="s">
        <v>77</v>
      </c>
      <c r="F434" s="2" t="s">
        <v>703</v>
      </c>
      <c r="G434" s="2" t="s">
        <v>13</v>
      </c>
      <c r="H434" s="2" t="s">
        <v>98</v>
      </c>
      <c r="I434" s="5" t="str">
        <f>HYPERLINK("http://slimages.macys.com/is/image/MCY/14532354 ")</f>
        <v xml:space="preserve">http://slimages.macys.com/is/image/MCY/14532354 </v>
      </c>
    </row>
    <row r="435" spans="1:9" ht="53" x14ac:dyDescent="0.2">
      <c r="A435" s="2" t="s">
        <v>753</v>
      </c>
      <c r="B435" s="3">
        <v>1</v>
      </c>
      <c r="C435" s="4">
        <v>34.99</v>
      </c>
      <c r="D435" s="3" t="s">
        <v>754</v>
      </c>
      <c r="E435" s="2" t="s">
        <v>755</v>
      </c>
      <c r="F435" s="2" t="s">
        <v>597</v>
      </c>
      <c r="G435" s="2" t="s">
        <v>13</v>
      </c>
      <c r="H435" s="2" t="s">
        <v>756</v>
      </c>
      <c r="I435" s="5" t="str">
        <f>HYPERLINK("http://slimages.macys.com/is/image/MCY/9545486 ")</f>
        <v xml:space="preserve">http://slimages.macys.com/is/image/MCY/9545486 </v>
      </c>
    </row>
    <row r="436" spans="1:9" ht="53" x14ac:dyDescent="0.2">
      <c r="A436" s="2" t="s">
        <v>757</v>
      </c>
      <c r="B436" s="3">
        <v>1</v>
      </c>
      <c r="C436" s="4">
        <v>23</v>
      </c>
      <c r="D436" s="3">
        <v>100005324</v>
      </c>
      <c r="E436" s="2" t="s">
        <v>17</v>
      </c>
      <c r="F436" s="2" t="s">
        <v>703</v>
      </c>
      <c r="G436" s="2" t="s">
        <v>13</v>
      </c>
      <c r="H436" s="2" t="s">
        <v>112</v>
      </c>
      <c r="I436" s="5" t="str">
        <f>HYPERLINK("http://slimages.macys.com/is/image/MCY/9267398 ")</f>
        <v xml:space="preserve">http://slimages.macys.com/is/image/MCY/9267398 </v>
      </c>
    </row>
    <row r="437" spans="1:9" ht="66" x14ac:dyDescent="0.2">
      <c r="A437" s="2" t="s">
        <v>758</v>
      </c>
      <c r="B437" s="3">
        <v>1</v>
      </c>
      <c r="C437" s="4">
        <v>22</v>
      </c>
      <c r="D437" s="3" t="s">
        <v>759</v>
      </c>
      <c r="E437" s="2" t="s">
        <v>262</v>
      </c>
      <c r="F437" s="2" t="s">
        <v>760</v>
      </c>
      <c r="G437" s="2" t="s">
        <v>13</v>
      </c>
      <c r="H437" s="2" t="s">
        <v>112</v>
      </c>
      <c r="I437" s="5" t="str">
        <f>HYPERLINK("http://slimages.macys.com/is/image/MCY/11691252 ")</f>
        <v xml:space="preserve">http://slimages.macys.com/is/image/MCY/11691252 </v>
      </c>
    </row>
    <row r="438" spans="1:9" ht="53" x14ac:dyDescent="0.2">
      <c r="A438" s="2" t="s">
        <v>761</v>
      </c>
      <c r="B438" s="3">
        <v>1</v>
      </c>
      <c r="C438" s="4">
        <v>29.5</v>
      </c>
      <c r="D438" s="3">
        <v>100049398</v>
      </c>
      <c r="E438" s="2" t="s">
        <v>167</v>
      </c>
      <c r="F438" s="2" t="s">
        <v>210</v>
      </c>
      <c r="G438" s="2" t="s">
        <v>13</v>
      </c>
      <c r="H438" s="2" t="s">
        <v>112</v>
      </c>
      <c r="I438" s="5" t="str">
        <f>HYPERLINK("http://slimages.macys.com/is/image/MCY/12449497 ")</f>
        <v xml:space="preserve">http://slimages.macys.com/is/image/MCY/12449497 </v>
      </c>
    </row>
    <row r="439" spans="1:9" ht="53" x14ac:dyDescent="0.2">
      <c r="A439" s="2" t="s">
        <v>762</v>
      </c>
      <c r="B439" s="3">
        <v>1</v>
      </c>
      <c r="C439" s="4">
        <v>24</v>
      </c>
      <c r="D439" s="3" t="s">
        <v>763</v>
      </c>
      <c r="E439" s="2" t="s">
        <v>46</v>
      </c>
      <c r="F439" s="2" t="s">
        <v>737</v>
      </c>
      <c r="G439" s="2" t="s">
        <v>13</v>
      </c>
      <c r="H439" s="2" t="s">
        <v>302</v>
      </c>
      <c r="I439" s="5" t="str">
        <f>HYPERLINK("http://slimages.macys.com/is/image/MCY/8974187 ")</f>
        <v xml:space="preserve">http://slimages.macys.com/is/image/MCY/8974187 </v>
      </c>
    </row>
    <row r="440" spans="1:9" ht="66" x14ac:dyDescent="0.2">
      <c r="A440" s="2" t="s">
        <v>764</v>
      </c>
      <c r="B440" s="3">
        <v>3</v>
      </c>
      <c r="C440" s="4">
        <v>70.02</v>
      </c>
      <c r="D440" s="3" t="s">
        <v>765</v>
      </c>
      <c r="E440" s="2" t="s">
        <v>116</v>
      </c>
      <c r="F440" s="2" t="s">
        <v>766</v>
      </c>
      <c r="G440" s="2" t="s">
        <v>13</v>
      </c>
      <c r="H440" s="2" t="s">
        <v>577</v>
      </c>
      <c r="I440" s="5" t="str">
        <f>HYPERLINK("http://slimages.macys.com/is/image/MCY/14772051 ")</f>
        <v xml:space="preserve">http://slimages.macys.com/is/image/MCY/14772051 </v>
      </c>
    </row>
    <row r="441" spans="1:9" ht="66" x14ac:dyDescent="0.2">
      <c r="A441" s="2" t="s">
        <v>767</v>
      </c>
      <c r="B441" s="3">
        <v>1</v>
      </c>
      <c r="C441" s="4">
        <v>23.34</v>
      </c>
      <c r="D441" s="3" t="s">
        <v>768</v>
      </c>
      <c r="E441" s="2" t="s">
        <v>17</v>
      </c>
      <c r="F441" s="2" t="s">
        <v>766</v>
      </c>
      <c r="G441" s="2" t="s">
        <v>13</v>
      </c>
      <c r="H441" s="2" t="s">
        <v>577</v>
      </c>
      <c r="I441" s="5" t="str">
        <f>HYPERLINK("http://slimages.macys.com/is/image/MCY/15882690 ")</f>
        <v xml:space="preserve">http://slimages.macys.com/is/image/MCY/15882690 </v>
      </c>
    </row>
    <row r="442" spans="1:9" ht="53" x14ac:dyDescent="0.2">
      <c r="A442" s="2" t="s">
        <v>769</v>
      </c>
      <c r="B442" s="3">
        <v>1</v>
      </c>
      <c r="C442" s="4">
        <v>23</v>
      </c>
      <c r="D442" s="3" t="s">
        <v>770</v>
      </c>
      <c r="E442" s="2" t="s">
        <v>21</v>
      </c>
      <c r="F442" s="2" t="s">
        <v>703</v>
      </c>
      <c r="G442" s="2" t="s">
        <v>13</v>
      </c>
      <c r="H442" s="2" t="s">
        <v>112</v>
      </c>
      <c r="I442" s="5" t="str">
        <f>HYPERLINK("http://slimages.macys.com/is/image/MCY/13401361 ")</f>
        <v xml:space="preserve">http://slimages.macys.com/is/image/MCY/13401361 </v>
      </c>
    </row>
    <row r="443" spans="1:9" ht="66" x14ac:dyDescent="0.2">
      <c r="A443" s="2" t="s">
        <v>767</v>
      </c>
      <c r="B443" s="3">
        <v>1</v>
      </c>
      <c r="C443" s="4">
        <v>23.34</v>
      </c>
      <c r="D443" s="3" t="s">
        <v>768</v>
      </c>
      <c r="E443" s="2" t="s">
        <v>116</v>
      </c>
      <c r="F443" s="2" t="s">
        <v>766</v>
      </c>
      <c r="G443" s="2" t="s">
        <v>13</v>
      </c>
      <c r="H443" s="2" t="s">
        <v>577</v>
      </c>
      <c r="I443" s="5" t="str">
        <f>HYPERLINK("http://slimages.macys.com/is/image/MCY/15882690 ")</f>
        <v xml:space="preserve">http://slimages.macys.com/is/image/MCY/15882690 </v>
      </c>
    </row>
    <row r="444" spans="1:9" ht="66" x14ac:dyDescent="0.2">
      <c r="A444" s="2" t="s">
        <v>771</v>
      </c>
      <c r="B444" s="3">
        <v>1</v>
      </c>
      <c r="C444" s="4">
        <v>23.34</v>
      </c>
      <c r="D444" s="3" t="s">
        <v>772</v>
      </c>
      <c r="E444" s="2" t="s">
        <v>53</v>
      </c>
      <c r="F444" s="2" t="s">
        <v>766</v>
      </c>
      <c r="G444" s="2" t="s">
        <v>13</v>
      </c>
      <c r="H444" s="2" t="s">
        <v>573</v>
      </c>
      <c r="I444" s="5" t="str">
        <f>HYPERLINK("http://slimages.macys.com/is/image/MCY/12076728 ")</f>
        <v xml:space="preserve">http://slimages.macys.com/is/image/MCY/12076728 </v>
      </c>
    </row>
    <row r="445" spans="1:9" ht="66" x14ac:dyDescent="0.2">
      <c r="A445" s="2" t="s">
        <v>773</v>
      </c>
      <c r="B445" s="3">
        <v>1</v>
      </c>
      <c r="C445" s="4">
        <v>23.34</v>
      </c>
      <c r="D445" s="3" t="s">
        <v>774</v>
      </c>
      <c r="E445" s="2" t="s">
        <v>77</v>
      </c>
      <c r="F445" s="2" t="s">
        <v>766</v>
      </c>
      <c r="G445" s="2" t="s">
        <v>13</v>
      </c>
      <c r="H445" s="2" t="s">
        <v>573</v>
      </c>
      <c r="I445" s="5" t="str">
        <f>HYPERLINK("http://slimages.macys.com/is/image/MCY/15882665 ")</f>
        <v xml:space="preserve">http://slimages.macys.com/is/image/MCY/15882665 </v>
      </c>
    </row>
    <row r="446" spans="1:9" ht="53" x14ac:dyDescent="0.2">
      <c r="A446" s="2" t="s">
        <v>775</v>
      </c>
      <c r="B446" s="3">
        <v>2</v>
      </c>
      <c r="C446" s="4">
        <v>46</v>
      </c>
      <c r="D446" s="3" t="s">
        <v>776</v>
      </c>
      <c r="E446" s="2" t="s">
        <v>77</v>
      </c>
      <c r="F446" s="2" t="s">
        <v>703</v>
      </c>
      <c r="G446" s="2" t="s">
        <v>13</v>
      </c>
      <c r="H446" s="2" t="s">
        <v>112</v>
      </c>
      <c r="I446" s="5" t="str">
        <f>HYPERLINK("http://slimages.macys.com/is/image/MCY/10267363 ")</f>
        <v xml:space="preserve">http://slimages.macys.com/is/image/MCY/10267363 </v>
      </c>
    </row>
    <row r="447" spans="1:9" ht="53" x14ac:dyDescent="0.2">
      <c r="A447" s="2" t="s">
        <v>777</v>
      </c>
      <c r="B447" s="3">
        <v>1</v>
      </c>
      <c r="C447" s="4">
        <v>18.989999999999998</v>
      </c>
      <c r="D447" s="3" t="s">
        <v>778</v>
      </c>
      <c r="E447" s="2" t="s">
        <v>310</v>
      </c>
      <c r="F447" s="2" t="s">
        <v>779</v>
      </c>
      <c r="G447" s="2" t="s">
        <v>13</v>
      </c>
      <c r="H447" s="2" t="s">
        <v>35</v>
      </c>
      <c r="I447" s="5" t="str">
        <f>HYPERLINK("http://slimages.macys.com/is/image/MCY/10319686 ")</f>
        <v xml:space="preserve">http://slimages.macys.com/is/image/MCY/10319686 </v>
      </c>
    </row>
    <row r="448" spans="1:9" ht="53" x14ac:dyDescent="0.2">
      <c r="A448" s="2" t="s">
        <v>780</v>
      </c>
      <c r="B448" s="3">
        <v>1</v>
      </c>
      <c r="C448" s="4">
        <v>18.989999999999998</v>
      </c>
      <c r="D448" s="3" t="s">
        <v>781</v>
      </c>
      <c r="E448" s="2" t="s">
        <v>46</v>
      </c>
      <c r="F448" s="2" t="s">
        <v>779</v>
      </c>
      <c r="G448" s="2" t="s">
        <v>13</v>
      </c>
      <c r="H448" s="2" t="s">
        <v>35</v>
      </c>
      <c r="I448" s="5" t="str">
        <f>HYPERLINK("http://slimages.macys.com/is/image/MCY/10313123 ")</f>
        <v xml:space="preserve">http://slimages.macys.com/is/image/MCY/10313123 </v>
      </c>
    </row>
    <row r="449" spans="1:9" ht="66" x14ac:dyDescent="0.2">
      <c r="A449" s="2" t="s">
        <v>782</v>
      </c>
      <c r="B449" s="3">
        <v>1</v>
      </c>
      <c r="C449" s="4">
        <v>23.34</v>
      </c>
      <c r="D449" s="3" t="s">
        <v>783</v>
      </c>
      <c r="E449" s="2" t="s">
        <v>77</v>
      </c>
      <c r="F449" s="2" t="s">
        <v>766</v>
      </c>
      <c r="G449" s="2" t="s">
        <v>13</v>
      </c>
      <c r="H449" s="2" t="s">
        <v>577</v>
      </c>
      <c r="I449" s="5" t="str">
        <f>HYPERLINK("http://slimages.macys.com/is/image/MCY/10923051 ")</f>
        <v xml:space="preserve">http://slimages.macys.com/is/image/MCY/10923051 </v>
      </c>
    </row>
    <row r="450" spans="1:9" ht="66" x14ac:dyDescent="0.2">
      <c r="A450" s="2" t="s">
        <v>784</v>
      </c>
      <c r="B450" s="3">
        <v>2</v>
      </c>
      <c r="C450" s="4">
        <v>46.68</v>
      </c>
      <c r="D450" s="3" t="s">
        <v>785</v>
      </c>
      <c r="E450" s="2" t="s">
        <v>116</v>
      </c>
      <c r="F450" s="2" t="s">
        <v>766</v>
      </c>
      <c r="G450" s="2" t="s">
        <v>13</v>
      </c>
      <c r="H450" s="2" t="s">
        <v>573</v>
      </c>
      <c r="I450" s="5" t="str">
        <f>HYPERLINK("http://slimages.macys.com/is/image/MCY/15883417 ")</f>
        <v xml:space="preserve">http://slimages.macys.com/is/image/MCY/15883417 </v>
      </c>
    </row>
    <row r="451" spans="1:9" ht="66" x14ac:dyDescent="0.2">
      <c r="A451" s="2" t="s">
        <v>786</v>
      </c>
      <c r="B451" s="3">
        <v>1</v>
      </c>
      <c r="C451" s="4">
        <v>23.34</v>
      </c>
      <c r="D451" s="3" t="s">
        <v>787</v>
      </c>
      <c r="E451" s="2" t="s">
        <v>72</v>
      </c>
      <c r="F451" s="2" t="s">
        <v>766</v>
      </c>
      <c r="G451" s="2" t="s">
        <v>13</v>
      </c>
      <c r="H451" s="2" t="s">
        <v>573</v>
      </c>
      <c r="I451" s="5" t="str">
        <f>HYPERLINK("http://slimages.macys.com/is/image/MCY/15196957 ")</f>
        <v xml:space="preserve">http://slimages.macys.com/is/image/MCY/15196957 </v>
      </c>
    </row>
    <row r="452" spans="1:9" ht="53" x14ac:dyDescent="0.2">
      <c r="A452" s="2" t="s">
        <v>788</v>
      </c>
      <c r="B452" s="3">
        <v>1</v>
      </c>
      <c r="C452" s="4">
        <v>23</v>
      </c>
      <c r="D452" s="3">
        <v>100005305</v>
      </c>
      <c r="E452" s="2" t="s">
        <v>17</v>
      </c>
      <c r="F452" s="2" t="s">
        <v>703</v>
      </c>
      <c r="G452" s="2" t="s">
        <v>13</v>
      </c>
      <c r="H452" s="2" t="s">
        <v>112</v>
      </c>
      <c r="I452" s="5" t="str">
        <f>HYPERLINK("http://slimages.macys.com/is/image/MCY/9228910 ")</f>
        <v xml:space="preserve">http://slimages.macys.com/is/image/MCY/9228910 </v>
      </c>
    </row>
    <row r="453" spans="1:9" ht="53" x14ac:dyDescent="0.2">
      <c r="A453" s="2" t="s">
        <v>788</v>
      </c>
      <c r="B453" s="3">
        <v>1</v>
      </c>
      <c r="C453" s="4">
        <v>23</v>
      </c>
      <c r="D453" s="3">
        <v>100005305</v>
      </c>
      <c r="E453" s="2" t="s">
        <v>307</v>
      </c>
      <c r="F453" s="2" t="s">
        <v>703</v>
      </c>
      <c r="G453" s="2" t="s">
        <v>13</v>
      </c>
      <c r="H453" s="2" t="s">
        <v>112</v>
      </c>
      <c r="I453" s="5" t="str">
        <f>HYPERLINK("http://slimages.macys.com/is/image/MCY/9228910 ")</f>
        <v xml:space="preserve">http://slimages.macys.com/is/image/MCY/9228910 </v>
      </c>
    </row>
    <row r="454" spans="1:9" ht="53" x14ac:dyDescent="0.2">
      <c r="A454" s="2" t="s">
        <v>789</v>
      </c>
      <c r="B454" s="3">
        <v>1</v>
      </c>
      <c r="C454" s="4">
        <v>19</v>
      </c>
      <c r="D454" s="3" t="s">
        <v>790</v>
      </c>
      <c r="E454" s="2" t="s">
        <v>17</v>
      </c>
      <c r="F454" s="2" t="s">
        <v>791</v>
      </c>
      <c r="G454" s="2" t="s">
        <v>13</v>
      </c>
      <c r="H454" s="2" t="s">
        <v>145</v>
      </c>
      <c r="I454" s="5" t="str">
        <f>HYPERLINK("http://slimages.macys.com/is/image/MCY/15805830 ")</f>
        <v xml:space="preserve">http://slimages.macys.com/is/image/MCY/15805830 </v>
      </c>
    </row>
    <row r="455" spans="1:9" ht="53" x14ac:dyDescent="0.2">
      <c r="A455" s="2" t="s">
        <v>792</v>
      </c>
      <c r="B455" s="3">
        <v>1</v>
      </c>
      <c r="C455" s="4">
        <v>19</v>
      </c>
      <c r="D455" s="3" t="s">
        <v>793</v>
      </c>
      <c r="E455" s="2" t="s">
        <v>167</v>
      </c>
      <c r="F455" s="2" t="s">
        <v>791</v>
      </c>
      <c r="G455" s="2" t="s">
        <v>13</v>
      </c>
      <c r="H455" s="2" t="s">
        <v>118</v>
      </c>
      <c r="I455" s="5" t="str">
        <f>HYPERLINK("http://slimages.macys.com/is/image/MCY/15805673 ")</f>
        <v xml:space="preserve">http://slimages.macys.com/is/image/MCY/15805673 </v>
      </c>
    </row>
    <row r="456" spans="1:9" ht="53" x14ac:dyDescent="0.2">
      <c r="A456" s="2" t="s">
        <v>794</v>
      </c>
      <c r="B456" s="3">
        <v>1</v>
      </c>
      <c r="C456" s="4">
        <v>19</v>
      </c>
      <c r="D456" s="3" t="s">
        <v>795</v>
      </c>
      <c r="E456" s="2" t="s">
        <v>167</v>
      </c>
      <c r="F456" s="2" t="s">
        <v>791</v>
      </c>
      <c r="G456" s="2" t="s">
        <v>13</v>
      </c>
      <c r="H456" s="2" t="s">
        <v>145</v>
      </c>
      <c r="I456" s="5" t="str">
        <f>HYPERLINK("http://slimages.macys.com/is/image/MCY/15804548 ")</f>
        <v xml:space="preserve">http://slimages.macys.com/is/image/MCY/15804548 </v>
      </c>
    </row>
    <row r="457" spans="1:9" ht="53" x14ac:dyDescent="0.2">
      <c r="A457" s="2" t="s">
        <v>789</v>
      </c>
      <c r="B457" s="3">
        <v>2</v>
      </c>
      <c r="C457" s="4">
        <v>38</v>
      </c>
      <c r="D457" s="3" t="s">
        <v>790</v>
      </c>
      <c r="E457" s="2" t="s">
        <v>167</v>
      </c>
      <c r="F457" s="2" t="s">
        <v>791</v>
      </c>
      <c r="G457" s="2" t="s">
        <v>13</v>
      </c>
      <c r="H457" s="2" t="s">
        <v>145</v>
      </c>
      <c r="I457" s="5" t="str">
        <f>HYPERLINK("http://slimages.macys.com/is/image/MCY/15805830 ")</f>
        <v xml:space="preserve">http://slimages.macys.com/is/image/MCY/15805830 </v>
      </c>
    </row>
    <row r="458" spans="1:9" ht="53" x14ac:dyDescent="0.2">
      <c r="A458" s="2" t="s">
        <v>796</v>
      </c>
      <c r="B458" s="3">
        <v>9</v>
      </c>
      <c r="C458" s="4">
        <v>360</v>
      </c>
      <c r="D458" s="3" t="s">
        <v>797</v>
      </c>
      <c r="E458" s="2" t="s">
        <v>531</v>
      </c>
      <c r="F458" s="2" t="s">
        <v>798</v>
      </c>
      <c r="G458" s="2" t="s">
        <v>13</v>
      </c>
      <c r="H458" s="2" t="s">
        <v>799</v>
      </c>
      <c r="I458" s="5" t="str">
        <f>HYPERLINK("http://slimages.macys.com/is/image/MCY/12401749 ")</f>
        <v xml:space="preserve">http://slimages.macys.com/is/image/MCY/12401749 </v>
      </c>
    </row>
    <row r="459" spans="1:9" ht="53" x14ac:dyDescent="0.2">
      <c r="A459" s="2" t="s">
        <v>800</v>
      </c>
      <c r="B459" s="3">
        <v>1</v>
      </c>
      <c r="C459" s="4">
        <v>40</v>
      </c>
      <c r="D459" s="3" t="s">
        <v>801</v>
      </c>
      <c r="E459" s="2" t="s">
        <v>33</v>
      </c>
      <c r="F459" s="2" t="s">
        <v>798</v>
      </c>
      <c r="G459" s="2" t="s">
        <v>13</v>
      </c>
      <c r="H459" s="2" t="s">
        <v>799</v>
      </c>
      <c r="I459" s="5" t="str">
        <f>HYPERLINK("http://slimages.macys.com/is/image/MCY/11669389 ")</f>
        <v xml:space="preserve">http://slimages.macys.com/is/image/MCY/11669389 </v>
      </c>
    </row>
    <row r="460" spans="1:9" ht="53" x14ac:dyDescent="0.2">
      <c r="A460" s="2" t="s">
        <v>802</v>
      </c>
      <c r="B460" s="3">
        <v>2</v>
      </c>
      <c r="C460" s="4">
        <v>80</v>
      </c>
      <c r="D460" s="3" t="s">
        <v>803</v>
      </c>
      <c r="E460" s="2" t="s">
        <v>17</v>
      </c>
      <c r="F460" s="2" t="s">
        <v>798</v>
      </c>
      <c r="G460" s="2" t="s">
        <v>13</v>
      </c>
      <c r="H460" s="2" t="s">
        <v>799</v>
      </c>
      <c r="I460" s="5" t="str">
        <f>HYPERLINK("http://slimages.macys.com/is/image/MCY/11669154 ")</f>
        <v xml:space="preserve">http://slimages.macys.com/is/image/MCY/11669154 </v>
      </c>
    </row>
    <row r="461" spans="1:9" ht="53" x14ac:dyDescent="0.2">
      <c r="A461" s="2" t="s">
        <v>804</v>
      </c>
      <c r="B461" s="3">
        <v>2</v>
      </c>
      <c r="C461" s="4">
        <v>80</v>
      </c>
      <c r="D461" s="3" t="s">
        <v>805</v>
      </c>
      <c r="E461" s="2" t="s">
        <v>531</v>
      </c>
      <c r="F461" s="2" t="s">
        <v>798</v>
      </c>
      <c r="G461" s="2" t="s">
        <v>13</v>
      </c>
      <c r="H461" s="2" t="s">
        <v>799</v>
      </c>
      <c r="I461" s="5" t="str">
        <f>HYPERLINK("http://slimages.macys.com/is/image/MCY/11687215 ")</f>
        <v xml:space="preserve">http://slimages.macys.com/is/image/MCY/11687215 </v>
      </c>
    </row>
    <row r="462" spans="1:9" ht="53" x14ac:dyDescent="0.2">
      <c r="A462" s="2" t="s">
        <v>806</v>
      </c>
      <c r="B462" s="3">
        <v>1</v>
      </c>
      <c r="C462" s="4">
        <v>40</v>
      </c>
      <c r="D462" s="3" t="s">
        <v>807</v>
      </c>
      <c r="E462" s="2" t="s">
        <v>33</v>
      </c>
      <c r="F462" s="2" t="s">
        <v>798</v>
      </c>
      <c r="G462" s="2" t="s">
        <v>13</v>
      </c>
      <c r="H462" s="2" t="s">
        <v>799</v>
      </c>
      <c r="I462" s="5" t="str">
        <f>HYPERLINK("http://slimages.macys.com/is/image/MCY/11687196 ")</f>
        <v xml:space="preserve">http://slimages.macys.com/is/image/MCY/11687196 </v>
      </c>
    </row>
    <row r="463" spans="1:9" ht="53" x14ac:dyDescent="0.2">
      <c r="A463" s="2" t="s">
        <v>808</v>
      </c>
      <c r="B463" s="3">
        <v>1</v>
      </c>
      <c r="C463" s="4">
        <v>12.99</v>
      </c>
      <c r="D463" s="3" t="s">
        <v>809</v>
      </c>
      <c r="E463" s="2" t="s">
        <v>167</v>
      </c>
      <c r="F463" s="2" t="s">
        <v>367</v>
      </c>
      <c r="G463" s="2" t="s">
        <v>13</v>
      </c>
      <c r="H463" s="2" t="s">
        <v>98</v>
      </c>
      <c r="I463" s="5" t="str">
        <f>HYPERLINK("http://slimages.macys.com/is/image/MCY/16490635 ")</f>
        <v xml:space="preserve">http://slimages.macys.com/is/image/MCY/16490635 </v>
      </c>
    </row>
    <row r="464" spans="1:9" ht="53" x14ac:dyDescent="0.2">
      <c r="A464" s="2" t="s">
        <v>810</v>
      </c>
      <c r="B464" s="3">
        <v>1</v>
      </c>
      <c r="C464" s="4">
        <v>29.99</v>
      </c>
      <c r="D464" s="3">
        <v>100015428</v>
      </c>
      <c r="E464" s="2" t="s">
        <v>21</v>
      </c>
      <c r="F464" s="2" t="s">
        <v>449</v>
      </c>
      <c r="G464" s="2" t="s">
        <v>13</v>
      </c>
      <c r="H464" s="2" t="s">
        <v>700</v>
      </c>
      <c r="I464" s="5" t="str">
        <f>HYPERLINK("http://slimages.macys.com/is/image/MCY/8898603 ")</f>
        <v xml:space="preserve">http://slimages.macys.com/is/image/MCY/8898603 </v>
      </c>
    </row>
    <row r="465" spans="1:9" ht="53" x14ac:dyDescent="0.2">
      <c r="A465" s="2" t="s">
        <v>811</v>
      </c>
      <c r="B465" s="3">
        <v>2</v>
      </c>
      <c r="C465" s="4">
        <v>63.98</v>
      </c>
      <c r="D465" s="3" t="s">
        <v>812</v>
      </c>
      <c r="E465" s="2" t="s">
        <v>318</v>
      </c>
      <c r="F465" s="2" t="s">
        <v>449</v>
      </c>
      <c r="G465" s="2" t="s">
        <v>13</v>
      </c>
      <c r="H465" s="2" t="s">
        <v>378</v>
      </c>
      <c r="I465" s="5" t="str">
        <f>HYPERLINK("http://slimages.macys.com/is/image/MCY/16223443 ")</f>
        <v xml:space="preserve">http://slimages.macys.com/is/image/MCY/16223443 </v>
      </c>
    </row>
    <row r="466" spans="1:9" ht="53" x14ac:dyDescent="0.2">
      <c r="A466" s="2" t="s">
        <v>813</v>
      </c>
      <c r="B466" s="3">
        <v>1</v>
      </c>
      <c r="C466" s="4">
        <v>20</v>
      </c>
      <c r="D466" s="3">
        <v>100019358</v>
      </c>
      <c r="E466" s="2" t="s">
        <v>167</v>
      </c>
      <c r="F466" s="2" t="s">
        <v>703</v>
      </c>
      <c r="G466" s="2" t="s">
        <v>13</v>
      </c>
      <c r="H466" s="2" t="s">
        <v>112</v>
      </c>
      <c r="I466" s="5" t="str">
        <f>HYPERLINK("http://slimages.macys.com/is/image/MCY/9394966 ")</f>
        <v xml:space="preserve">http://slimages.macys.com/is/image/MCY/9394966 </v>
      </c>
    </row>
    <row r="467" spans="1:9" ht="53" x14ac:dyDescent="0.2">
      <c r="A467" s="2" t="s">
        <v>814</v>
      </c>
      <c r="B467" s="3">
        <v>1</v>
      </c>
      <c r="C467" s="4">
        <v>20</v>
      </c>
      <c r="D467" s="3">
        <v>100019357</v>
      </c>
      <c r="E467" s="2" t="s">
        <v>167</v>
      </c>
      <c r="F467" s="2" t="s">
        <v>703</v>
      </c>
      <c r="G467" s="2" t="s">
        <v>13</v>
      </c>
      <c r="H467" s="2" t="s">
        <v>112</v>
      </c>
      <c r="I467" s="5" t="str">
        <f>HYPERLINK("http://slimages.macys.com/is/image/MCY/2329618 ")</f>
        <v xml:space="preserve">http://slimages.macys.com/is/image/MCY/2329618 </v>
      </c>
    </row>
    <row r="468" spans="1:9" ht="66" x14ac:dyDescent="0.2">
      <c r="A468" s="2" t="s">
        <v>815</v>
      </c>
      <c r="B468" s="3">
        <v>1</v>
      </c>
      <c r="C468" s="4">
        <v>17.989999999999998</v>
      </c>
      <c r="D468" s="3" t="s">
        <v>816</v>
      </c>
      <c r="E468" s="2" t="s">
        <v>161</v>
      </c>
      <c r="F468" s="2" t="s">
        <v>817</v>
      </c>
      <c r="G468" s="2" t="s">
        <v>13</v>
      </c>
      <c r="H468" s="2" t="s">
        <v>315</v>
      </c>
      <c r="I468" s="5" t="str">
        <f>HYPERLINK("http://slimages.macys.com/is/image/MCY/14442235 ")</f>
        <v xml:space="preserve">http://slimages.macys.com/is/image/MCY/14442235 </v>
      </c>
    </row>
    <row r="469" spans="1:9" ht="53" x14ac:dyDescent="0.2">
      <c r="A469" s="2" t="s">
        <v>818</v>
      </c>
      <c r="B469" s="3">
        <v>2</v>
      </c>
      <c r="C469" s="4">
        <v>70</v>
      </c>
      <c r="D469" s="3" t="s">
        <v>819</v>
      </c>
      <c r="E469" s="2" t="s">
        <v>262</v>
      </c>
      <c r="F469" s="2" t="s">
        <v>390</v>
      </c>
      <c r="G469" s="2" t="s">
        <v>13</v>
      </c>
      <c r="H469" s="2" t="s">
        <v>118</v>
      </c>
      <c r="I469" s="5" t="str">
        <f>HYPERLINK("http://slimages.macys.com/is/image/MCY/15435215 ")</f>
        <v xml:space="preserve">http://slimages.macys.com/is/image/MCY/15435215 </v>
      </c>
    </row>
    <row r="470" spans="1:9" ht="53" x14ac:dyDescent="0.2">
      <c r="A470" s="2" t="s">
        <v>818</v>
      </c>
      <c r="B470" s="3">
        <v>2</v>
      </c>
      <c r="C470" s="4">
        <v>70</v>
      </c>
      <c r="D470" s="3" t="s">
        <v>819</v>
      </c>
      <c r="E470" s="2" t="s">
        <v>262</v>
      </c>
      <c r="F470" s="2" t="s">
        <v>390</v>
      </c>
      <c r="G470" s="2" t="s">
        <v>13</v>
      </c>
      <c r="H470" s="2" t="s">
        <v>118</v>
      </c>
      <c r="I470" s="5" t="str">
        <f>HYPERLINK("http://slimages.macys.com/is/image/MCY/15435215 ")</f>
        <v xml:space="preserve">http://slimages.macys.com/is/image/MCY/15435215 </v>
      </c>
    </row>
    <row r="471" spans="1:9" ht="53" x14ac:dyDescent="0.2">
      <c r="A471" s="2" t="s">
        <v>818</v>
      </c>
      <c r="B471" s="3">
        <v>1</v>
      </c>
      <c r="C471" s="4">
        <v>35</v>
      </c>
      <c r="D471" s="3" t="s">
        <v>819</v>
      </c>
      <c r="E471" s="2" t="s">
        <v>49</v>
      </c>
      <c r="F471" s="2" t="s">
        <v>390</v>
      </c>
      <c r="G471" s="2" t="s">
        <v>13</v>
      </c>
      <c r="H471" s="2" t="s">
        <v>118</v>
      </c>
      <c r="I471" s="5" t="str">
        <f>HYPERLINK("http://slimages.macys.com/is/image/MCY/15435215 ")</f>
        <v xml:space="preserve">http://slimages.macys.com/is/image/MCY/15435215 </v>
      </c>
    </row>
    <row r="472" spans="1:9" ht="53" x14ac:dyDescent="0.2">
      <c r="A472" s="2" t="s">
        <v>818</v>
      </c>
      <c r="B472" s="3">
        <v>1</v>
      </c>
      <c r="C472" s="4">
        <v>35</v>
      </c>
      <c r="D472" s="3" t="s">
        <v>819</v>
      </c>
      <c r="E472" s="2" t="s">
        <v>49</v>
      </c>
      <c r="F472" s="2" t="s">
        <v>390</v>
      </c>
      <c r="G472" s="2" t="s">
        <v>13</v>
      </c>
      <c r="H472" s="2" t="s">
        <v>118</v>
      </c>
      <c r="I472" s="5" t="str">
        <f>HYPERLINK("http://slimages.macys.com/is/image/MCY/15435215 ")</f>
        <v xml:space="preserve">http://slimages.macys.com/is/image/MCY/15435215 </v>
      </c>
    </row>
    <row r="473" spans="1:9" ht="53" x14ac:dyDescent="0.2">
      <c r="A473" s="2" t="s">
        <v>820</v>
      </c>
      <c r="B473" s="3">
        <v>1</v>
      </c>
      <c r="C473" s="4">
        <v>17.77</v>
      </c>
      <c r="D473" s="3" t="s">
        <v>821</v>
      </c>
      <c r="E473" s="2" t="s">
        <v>49</v>
      </c>
      <c r="F473" s="2" t="s">
        <v>822</v>
      </c>
      <c r="G473" s="2" t="s">
        <v>13</v>
      </c>
      <c r="H473" s="2" t="s">
        <v>118</v>
      </c>
      <c r="I473" s="5" t="str">
        <f>HYPERLINK("http://slimages.macys.com/is/image/MCY/13038051 ")</f>
        <v xml:space="preserve">http://slimages.macys.com/is/image/MCY/13038051 </v>
      </c>
    </row>
    <row r="474" spans="1:9" ht="53" x14ac:dyDescent="0.2">
      <c r="A474" s="2" t="s">
        <v>823</v>
      </c>
      <c r="B474" s="3">
        <v>1</v>
      </c>
      <c r="C474" s="4">
        <v>19.989999999999998</v>
      </c>
      <c r="D474" s="3" t="s">
        <v>824</v>
      </c>
      <c r="E474" s="2" t="s">
        <v>330</v>
      </c>
      <c r="F474" s="2" t="s">
        <v>566</v>
      </c>
      <c r="G474" s="2" t="s">
        <v>13</v>
      </c>
      <c r="H474" s="2" t="s">
        <v>583</v>
      </c>
      <c r="I474" s="5" t="str">
        <f>HYPERLINK("http://slimages.macys.com/is/image/MCY/13859448 ")</f>
        <v xml:space="preserve">http://slimages.macys.com/is/image/MCY/13859448 </v>
      </c>
    </row>
    <row r="475" spans="1:9" ht="53" x14ac:dyDescent="0.2">
      <c r="A475" s="2" t="s">
        <v>825</v>
      </c>
      <c r="B475" s="3">
        <v>1</v>
      </c>
      <c r="C475" s="4">
        <v>9.99</v>
      </c>
      <c r="D475" s="3" t="s">
        <v>826</v>
      </c>
      <c r="E475" s="2" t="s">
        <v>167</v>
      </c>
      <c r="F475" s="2" t="s">
        <v>822</v>
      </c>
      <c r="G475" s="2" t="s">
        <v>13</v>
      </c>
      <c r="H475" s="2" t="s">
        <v>118</v>
      </c>
      <c r="I475" s="5" t="str">
        <f>HYPERLINK("http://slimages.macys.com/is/image/MCY/3954218 ")</f>
        <v xml:space="preserve">http://slimages.macys.com/is/image/MCY/3954218 </v>
      </c>
    </row>
    <row r="476" spans="1:9" ht="53" x14ac:dyDescent="0.2">
      <c r="A476" s="2" t="s">
        <v>827</v>
      </c>
      <c r="B476" s="3">
        <v>1</v>
      </c>
      <c r="C476" s="4">
        <v>17.77</v>
      </c>
      <c r="D476" s="3" t="s">
        <v>828</v>
      </c>
      <c r="E476" s="2" t="s">
        <v>167</v>
      </c>
      <c r="F476" s="2" t="s">
        <v>822</v>
      </c>
      <c r="G476" s="2" t="s">
        <v>13</v>
      </c>
      <c r="H476" s="2" t="s">
        <v>118</v>
      </c>
      <c r="I476" s="5" t="str">
        <f>HYPERLINK("http://slimages.macys.com/is/image/MCY/13038335 ")</f>
        <v xml:space="preserve">http://slimages.macys.com/is/image/MCY/13038335 </v>
      </c>
    </row>
    <row r="477" spans="1:9" ht="53" x14ac:dyDescent="0.2">
      <c r="A477" s="2" t="s">
        <v>829</v>
      </c>
      <c r="B477" s="3">
        <v>1</v>
      </c>
      <c r="C477" s="4">
        <v>17.77</v>
      </c>
      <c r="D477" s="3" t="s">
        <v>830</v>
      </c>
      <c r="E477" s="2" t="s">
        <v>330</v>
      </c>
      <c r="F477" s="2" t="s">
        <v>822</v>
      </c>
      <c r="G477" s="2" t="s">
        <v>13</v>
      </c>
      <c r="H477" s="2" t="s">
        <v>118</v>
      </c>
      <c r="I477" s="5" t="str">
        <f>HYPERLINK("http://slimages.macys.com/is/image/MCY/13048721 ")</f>
        <v xml:space="preserve">http://slimages.macys.com/is/image/MCY/13048721 </v>
      </c>
    </row>
    <row r="478" spans="1:9" ht="53" x14ac:dyDescent="0.2">
      <c r="A478" s="2" t="s">
        <v>831</v>
      </c>
      <c r="B478" s="3">
        <v>1</v>
      </c>
      <c r="C478" s="4">
        <v>17.77</v>
      </c>
      <c r="D478" s="3" t="s">
        <v>832</v>
      </c>
      <c r="E478" s="2" t="s">
        <v>17</v>
      </c>
      <c r="F478" s="2" t="s">
        <v>822</v>
      </c>
      <c r="G478" s="2" t="s">
        <v>13</v>
      </c>
      <c r="H478" s="2" t="s">
        <v>118</v>
      </c>
      <c r="I478" s="5" t="str">
        <f>HYPERLINK("http://slimages.macys.com/is/image/MCY/13038876 ")</f>
        <v xml:space="preserve">http://slimages.macys.com/is/image/MCY/13038876 </v>
      </c>
    </row>
    <row r="479" spans="1:9" ht="53" x14ac:dyDescent="0.2">
      <c r="A479" s="2" t="s">
        <v>833</v>
      </c>
      <c r="B479" s="3">
        <v>1</v>
      </c>
      <c r="C479" s="4">
        <v>17.77</v>
      </c>
      <c r="D479" s="3" t="s">
        <v>834</v>
      </c>
      <c r="E479" s="2" t="s">
        <v>167</v>
      </c>
      <c r="F479" s="2" t="s">
        <v>822</v>
      </c>
      <c r="G479" s="2" t="s">
        <v>13</v>
      </c>
      <c r="H479" s="2" t="s">
        <v>118</v>
      </c>
      <c r="I479" s="5" t="str">
        <f>HYPERLINK("http://slimages.macys.com/is/image/MCY/13037070 ")</f>
        <v xml:space="preserve">http://slimages.macys.com/is/image/MCY/13037070 </v>
      </c>
    </row>
    <row r="480" spans="1:9" ht="53" x14ac:dyDescent="0.2">
      <c r="A480" s="2" t="s">
        <v>829</v>
      </c>
      <c r="B480" s="3">
        <v>1</v>
      </c>
      <c r="C480" s="4">
        <v>17.77</v>
      </c>
      <c r="D480" s="3" t="s">
        <v>835</v>
      </c>
      <c r="E480" s="2" t="s">
        <v>167</v>
      </c>
      <c r="F480" s="2" t="s">
        <v>822</v>
      </c>
      <c r="G480" s="2" t="s">
        <v>13</v>
      </c>
      <c r="H480" s="2" t="s">
        <v>118</v>
      </c>
      <c r="I480" s="5" t="str">
        <f>HYPERLINK("http://slimages.macys.com/is/image/MCY/13037070 ")</f>
        <v xml:space="preserve">http://slimages.macys.com/is/image/MCY/13037070 </v>
      </c>
    </row>
    <row r="481" spans="1:9" ht="53" x14ac:dyDescent="0.2">
      <c r="A481" s="2" t="s">
        <v>836</v>
      </c>
      <c r="B481" s="3">
        <v>1</v>
      </c>
      <c r="C481" s="4">
        <v>19.989999999999998</v>
      </c>
      <c r="D481" s="3" t="s">
        <v>837</v>
      </c>
      <c r="E481" s="2" t="s">
        <v>17</v>
      </c>
      <c r="F481" s="2" t="s">
        <v>566</v>
      </c>
      <c r="G481" s="2" t="s">
        <v>13</v>
      </c>
      <c r="H481" s="2" t="s">
        <v>537</v>
      </c>
      <c r="I481" s="5" t="str">
        <f>HYPERLINK("http://slimages.macys.com/is/image/MCY/10049474 ")</f>
        <v xml:space="preserve">http://slimages.macys.com/is/image/MCY/10049474 </v>
      </c>
    </row>
    <row r="482" spans="1:9" ht="53" x14ac:dyDescent="0.2">
      <c r="A482" s="2" t="s">
        <v>836</v>
      </c>
      <c r="B482" s="3">
        <v>1</v>
      </c>
      <c r="C482" s="4">
        <v>19.989999999999998</v>
      </c>
      <c r="D482" s="3" t="s">
        <v>837</v>
      </c>
      <c r="E482" s="2" t="s">
        <v>161</v>
      </c>
      <c r="F482" s="2" t="s">
        <v>566</v>
      </c>
      <c r="G482" s="2" t="s">
        <v>13</v>
      </c>
      <c r="H482" s="2" t="s">
        <v>537</v>
      </c>
      <c r="I482" s="5" t="str">
        <f>HYPERLINK("http://slimages.macys.com/is/image/MCY/10049474 ")</f>
        <v xml:space="preserve">http://slimages.macys.com/is/image/MCY/10049474 </v>
      </c>
    </row>
    <row r="483" spans="1:9" ht="53" x14ac:dyDescent="0.2">
      <c r="A483" s="2" t="s">
        <v>838</v>
      </c>
      <c r="B483" s="3">
        <v>1</v>
      </c>
      <c r="C483" s="4">
        <v>27.99</v>
      </c>
      <c r="D483" s="3">
        <v>10008460800</v>
      </c>
      <c r="E483" s="2" t="s">
        <v>161</v>
      </c>
      <c r="F483" s="2" t="s">
        <v>536</v>
      </c>
      <c r="G483" s="2" t="s">
        <v>13</v>
      </c>
      <c r="H483" s="2" t="s">
        <v>315</v>
      </c>
      <c r="I483" s="5" t="str">
        <f>HYPERLINK("http://slimages.macys.com/is/image/MCY/15924999 ")</f>
        <v xml:space="preserve">http://slimages.macys.com/is/image/MCY/15924999 </v>
      </c>
    </row>
    <row r="484" spans="1:9" ht="53" x14ac:dyDescent="0.2">
      <c r="A484" s="2" t="s">
        <v>839</v>
      </c>
      <c r="B484" s="3">
        <v>1</v>
      </c>
      <c r="C484" s="4">
        <v>24.99</v>
      </c>
      <c r="D484" s="3" t="s">
        <v>840</v>
      </c>
      <c r="E484" s="2" t="s">
        <v>33</v>
      </c>
      <c r="F484" s="2" t="s">
        <v>490</v>
      </c>
      <c r="G484" s="2" t="s">
        <v>13</v>
      </c>
      <c r="H484" s="2" t="s">
        <v>112</v>
      </c>
      <c r="I484" s="5" t="str">
        <f>HYPERLINK("http://slimages.macys.com/is/image/MCY/14409720 ")</f>
        <v xml:space="preserve">http://slimages.macys.com/is/image/MCY/14409720 </v>
      </c>
    </row>
    <row r="485" spans="1:9" ht="53" x14ac:dyDescent="0.2">
      <c r="A485" s="2" t="s">
        <v>841</v>
      </c>
      <c r="B485" s="3">
        <v>3</v>
      </c>
      <c r="C485" s="4">
        <v>52.5</v>
      </c>
      <c r="D485" s="3" t="s">
        <v>842</v>
      </c>
      <c r="E485" s="2" t="s">
        <v>167</v>
      </c>
      <c r="F485" s="2" t="s">
        <v>843</v>
      </c>
      <c r="G485" s="2" t="s">
        <v>13</v>
      </c>
      <c r="H485" s="2" t="s">
        <v>118</v>
      </c>
      <c r="I485" s="5" t="str">
        <f>HYPERLINK("http://slimages.macys.com/is/image/MCY/15817905 ")</f>
        <v xml:space="preserve">http://slimages.macys.com/is/image/MCY/15817905 </v>
      </c>
    </row>
    <row r="486" spans="1:9" ht="53" x14ac:dyDescent="0.2">
      <c r="A486" s="2" t="s">
        <v>841</v>
      </c>
      <c r="B486" s="3">
        <v>2</v>
      </c>
      <c r="C486" s="4">
        <v>35</v>
      </c>
      <c r="D486" s="3" t="s">
        <v>844</v>
      </c>
      <c r="E486" s="2" t="s">
        <v>46</v>
      </c>
      <c r="F486" s="2" t="s">
        <v>843</v>
      </c>
      <c r="G486" s="2" t="s">
        <v>13</v>
      </c>
      <c r="H486" s="2" t="s">
        <v>118</v>
      </c>
      <c r="I486" s="5" t="str">
        <f>HYPERLINK("http://slimages.macys.com/is/image/MCY/15817905 ")</f>
        <v xml:space="preserve">http://slimages.macys.com/is/image/MCY/15817905 </v>
      </c>
    </row>
    <row r="487" spans="1:9" ht="53" x14ac:dyDescent="0.2">
      <c r="A487" s="2" t="s">
        <v>841</v>
      </c>
      <c r="B487" s="3">
        <v>1</v>
      </c>
      <c r="C487" s="4">
        <v>17.5</v>
      </c>
      <c r="D487" s="3" t="s">
        <v>842</v>
      </c>
      <c r="E487" s="2" t="s">
        <v>167</v>
      </c>
      <c r="F487" s="2" t="s">
        <v>843</v>
      </c>
      <c r="G487" s="2" t="s">
        <v>13</v>
      </c>
      <c r="H487" s="2" t="s">
        <v>118</v>
      </c>
      <c r="I487" s="5" t="str">
        <f>HYPERLINK("http://slimages.macys.com/is/image/MCY/15817905 ")</f>
        <v xml:space="preserve">http://slimages.macys.com/is/image/MCY/15817905 </v>
      </c>
    </row>
    <row r="488" spans="1:9" ht="53" x14ac:dyDescent="0.2">
      <c r="A488" s="2" t="s">
        <v>845</v>
      </c>
      <c r="B488" s="3">
        <v>2</v>
      </c>
      <c r="C488" s="4">
        <v>33.979999999999997</v>
      </c>
      <c r="D488" s="3" t="s">
        <v>846</v>
      </c>
      <c r="E488" s="2" t="s">
        <v>17</v>
      </c>
      <c r="F488" s="2" t="s">
        <v>847</v>
      </c>
      <c r="G488" s="2" t="s">
        <v>13</v>
      </c>
      <c r="H488" s="2" t="s">
        <v>848</v>
      </c>
      <c r="I488" s="5" t="str">
        <f>HYPERLINK("http://slimages.macys.com/is/image/MCY/12546090 ")</f>
        <v xml:space="preserve">http://slimages.macys.com/is/image/MCY/12546090 </v>
      </c>
    </row>
    <row r="489" spans="1:9" ht="53" x14ac:dyDescent="0.2">
      <c r="A489" s="2" t="s">
        <v>849</v>
      </c>
      <c r="B489" s="3">
        <v>2</v>
      </c>
      <c r="C489" s="4">
        <v>37.979999999999997</v>
      </c>
      <c r="D489" s="3">
        <v>701371</v>
      </c>
      <c r="E489" s="2" t="s">
        <v>33</v>
      </c>
      <c r="F489" s="2" t="s">
        <v>850</v>
      </c>
      <c r="G489" s="2" t="s">
        <v>13</v>
      </c>
      <c r="H489" s="2" t="s">
        <v>360</v>
      </c>
      <c r="I489" s="5" t="str">
        <f>HYPERLINK("http://slimages.macys.com/is/image/MCY/3007843 ")</f>
        <v xml:space="preserve">http://slimages.macys.com/is/image/MCY/3007843 </v>
      </c>
    </row>
    <row r="490" spans="1:9" ht="53" x14ac:dyDescent="0.2">
      <c r="A490" s="2" t="s">
        <v>851</v>
      </c>
      <c r="B490" s="3">
        <v>1</v>
      </c>
      <c r="C490" s="4">
        <v>24.99</v>
      </c>
      <c r="D490" s="3">
        <v>10008577600</v>
      </c>
      <c r="E490" s="2" t="s">
        <v>77</v>
      </c>
      <c r="F490" s="2" t="s">
        <v>737</v>
      </c>
      <c r="G490" s="2" t="s">
        <v>13</v>
      </c>
      <c r="H490" s="2" t="s">
        <v>680</v>
      </c>
      <c r="I490" s="5" t="str">
        <f>HYPERLINK("http://slimages.macys.com/is/image/MCY/15925154 ")</f>
        <v xml:space="preserve">http://slimages.macys.com/is/image/MCY/15925154 </v>
      </c>
    </row>
    <row r="491" spans="1:9" ht="53" x14ac:dyDescent="0.2">
      <c r="A491" s="2" t="s">
        <v>852</v>
      </c>
      <c r="B491" s="3">
        <v>1</v>
      </c>
      <c r="C491" s="4">
        <v>24.99</v>
      </c>
      <c r="D491" s="3">
        <v>10008579000</v>
      </c>
      <c r="E491" s="2" t="s">
        <v>17</v>
      </c>
      <c r="F491" s="2" t="s">
        <v>737</v>
      </c>
      <c r="G491" s="2" t="s">
        <v>13</v>
      </c>
      <c r="H491" s="2" t="s">
        <v>35</v>
      </c>
      <c r="I491" s="5" t="str">
        <f>HYPERLINK("http://slimages.macys.com/is/image/MCY/16562853 ")</f>
        <v xml:space="preserve">http://slimages.macys.com/is/image/MCY/16562853 </v>
      </c>
    </row>
    <row r="492" spans="1:9" ht="53" x14ac:dyDescent="0.2">
      <c r="A492" s="2" t="s">
        <v>853</v>
      </c>
      <c r="B492" s="3">
        <v>1</v>
      </c>
      <c r="C492" s="4">
        <v>14.99</v>
      </c>
      <c r="D492" s="3" t="s">
        <v>854</v>
      </c>
      <c r="E492" s="2" t="s">
        <v>116</v>
      </c>
      <c r="F492" s="2" t="s">
        <v>532</v>
      </c>
      <c r="G492" s="2" t="s">
        <v>13</v>
      </c>
      <c r="H492" s="2" t="s">
        <v>118</v>
      </c>
      <c r="I492" s="5" t="str">
        <f>HYPERLINK("http://slimages.macys.com/is/image/MCY/15175279 ")</f>
        <v xml:space="preserve">http://slimages.macys.com/is/image/MCY/15175279 </v>
      </c>
    </row>
    <row r="493" spans="1:9" ht="53" x14ac:dyDescent="0.2">
      <c r="A493" s="2" t="s">
        <v>855</v>
      </c>
      <c r="B493" s="3">
        <v>1</v>
      </c>
      <c r="C493" s="4">
        <v>20</v>
      </c>
      <c r="D493" s="3" t="s">
        <v>856</v>
      </c>
      <c r="E493" s="2" t="s">
        <v>396</v>
      </c>
      <c r="F493" s="2" t="s">
        <v>857</v>
      </c>
      <c r="G493" s="2" t="s">
        <v>13</v>
      </c>
      <c r="H493" s="2" t="s">
        <v>858</v>
      </c>
      <c r="I493" s="5" t="str">
        <f>HYPERLINK("http://slimages.macys.com/is/image/MCY/16090126 ")</f>
        <v xml:space="preserve">http://slimages.macys.com/is/image/MCY/16090126 </v>
      </c>
    </row>
    <row r="494" spans="1:9" ht="53" x14ac:dyDescent="0.2">
      <c r="A494" s="2" t="s">
        <v>859</v>
      </c>
      <c r="B494" s="3">
        <v>1</v>
      </c>
      <c r="C494" s="4">
        <v>24.99</v>
      </c>
      <c r="D494" s="3" t="s">
        <v>860</v>
      </c>
      <c r="E494" s="2" t="s">
        <v>167</v>
      </c>
      <c r="F494" s="2" t="s">
        <v>449</v>
      </c>
      <c r="G494" s="2" t="s">
        <v>13</v>
      </c>
      <c r="H494" s="2" t="s">
        <v>481</v>
      </c>
      <c r="I494" s="5" t="str">
        <f>HYPERLINK("http://slimages.macys.com/is/image/MCY/12253853 ")</f>
        <v xml:space="preserve">http://slimages.macys.com/is/image/MCY/12253853 </v>
      </c>
    </row>
    <row r="495" spans="1:9" ht="53" x14ac:dyDescent="0.2">
      <c r="A495" s="2" t="s">
        <v>859</v>
      </c>
      <c r="B495" s="3">
        <v>1</v>
      </c>
      <c r="C495" s="4">
        <v>24.99</v>
      </c>
      <c r="D495" s="3" t="s">
        <v>860</v>
      </c>
      <c r="E495" s="2" t="s">
        <v>33</v>
      </c>
      <c r="F495" s="2" t="s">
        <v>449</v>
      </c>
      <c r="G495" s="2" t="s">
        <v>13</v>
      </c>
      <c r="H495" s="2" t="s">
        <v>481</v>
      </c>
      <c r="I495" s="5" t="str">
        <f>HYPERLINK("http://slimages.macys.com/is/image/MCY/12253853 ")</f>
        <v xml:space="preserve">http://slimages.macys.com/is/image/MCY/12253853 </v>
      </c>
    </row>
    <row r="496" spans="1:9" ht="53" x14ac:dyDescent="0.2">
      <c r="A496" s="2" t="s">
        <v>861</v>
      </c>
      <c r="B496" s="3">
        <v>1</v>
      </c>
      <c r="C496" s="4">
        <v>17.5</v>
      </c>
      <c r="D496" s="3" t="s">
        <v>862</v>
      </c>
      <c r="E496" s="2" t="s">
        <v>33</v>
      </c>
      <c r="F496" s="2" t="s">
        <v>863</v>
      </c>
      <c r="G496" s="2" t="s">
        <v>13</v>
      </c>
      <c r="H496" s="2" t="s">
        <v>864</v>
      </c>
      <c r="I496" s="5" t="str">
        <f>HYPERLINK("http://slimages.macys.com/is/image/MCY/14746707 ")</f>
        <v xml:space="preserve">http://slimages.macys.com/is/image/MCY/14746707 </v>
      </c>
    </row>
    <row r="497" spans="1:9" ht="53" x14ac:dyDescent="0.2">
      <c r="A497" s="2" t="s">
        <v>865</v>
      </c>
      <c r="B497" s="3">
        <v>1</v>
      </c>
      <c r="C497" s="4">
        <v>17.5</v>
      </c>
      <c r="D497" s="3" t="s">
        <v>866</v>
      </c>
      <c r="E497" s="2" t="s">
        <v>33</v>
      </c>
      <c r="F497" s="2" t="s">
        <v>867</v>
      </c>
      <c r="G497" s="2" t="s">
        <v>13</v>
      </c>
      <c r="H497" s="2" t="s">
        <v>868</v>
      </c>
      <c r="I497" s="5" t="str">
        <f>HYPERLINK("http://slimages.macys.com/is/image/MCY/10024153 ")</f>
        <v xml:space="preserve">http://slimages.macys.com/is/image/MCY/10024153 </v>
      </c>
    </row>
    <row r="498" spans="1:9" ht="53" x14ac:dyDescent="0.2">
      <c r="A498" s="2" t="s">
        <v>869</v>
      </c>
      <c r="B498" s="3">
        <v>1</v>
      </c>
      <c r="C498" s="4">
        <v>19.989999999999998</v>
      </c>
      <c r="D498" s="3">
        <v>10008582700</v>
      </c>
      <c r="E498" s="2" t="s">
        <v>116</v>
      </c>
      <c r="F498" s="2" t="s">
        <v>870</v>
      </c>
      <c r="G498" s="2" t="s">
        <v>13</v>
      </c>
      <c r="H498" s="2" t="s">
        <v>573</v>
      </c>
      <c r="I498" s="5" t="str">
        <f>HYPERLINK("http://slimages.macys.com/is/image/MCY/15611837 ")</f>
        <v xml:space="preserve">http://slimages.macys.com/is/image/MCY/15611837 </v>
      </c>
    </row>
    <row r="499" spans="1:9" ht="53" x14ac:dyDescent="0.2">
      <c r="A499" s="2" t="s">
        <v>871</v>
      </c>
      <c r="B499" s="3">
        <v>2</v>
      </c>
      <c r="C499" s="4">
        <v>39.979999999999997</v>
      </c>
      <c r="D499" s="3">
        <v>10008040100</v>
      </c>
      <c r="E499" s="2" t="s">
        <v>531</v>
      </c>
      <c r="F499" s="2" t="s">
        <v>872</v>
      </c>
      <c r="G499" s="2" t="s">
        <v>13</v>
      </c>
      <c r="H499" s="2" t="s">
        <v>573</v>
      </c>
      <c r="I499" s="5" t="str">
        <f>HYPERLINK("http://slimages.macys.com/is/image/MCY/14443000 ")</f>
        <v xml:space="preserve">http://slimages.macys.com/is/image/MCY/14443000 </v>
      </c>
    </row>
    <row r="500" spans="1:9" ht="53" x14ac:dyDescent="0.2">
      <c r="A500" s="2" t="s">
        <v>873</v>
      </c>
      <c r="B500" s="3">
        <v>2</v>
      </c>
      <c r="C500" s="4">
        <v>39.979999999999997</v>
      </c>
      <c r="D500" s="3">
        <v>10007797800</v>
      </c>
      <c r="E500" s="2" t="s">
        <v>17</v>
      </c>
      <c r="F500" s="2" t="s">
        <v>870</v>
      </c>
      <c r="G500" s="2" t="s">
        <v>13</v>
      </c>
      <c r="H500" s="2" t="s">
        <v>573</v>
      </c>
      <c r="I500" s="5" t="str">
        <f>HYPERLINK("http://slimages.macys.com/is/image/MCY/14575005 ")</f>
        <v xml:space="preserve">http://slimages.macys.com/is/image/MCY/14575005 </v>
      </c>
    </row>
    <row r="501" spans="1:9" ht="53" x14ac:dyDescent="0.2">
      <c r="A501" s="2" t="s">
        <v>871</v>
      </c>
      <c r="B501" s="3">
        <v>4</v>
      </c>
      <c r="C501" s="4">
        <v>79.959999999999994</v>
      </c>
      <c r="D501" s="3">
        <v>10008040100</v>
      </c>
      <c r="E501" s="2" t="s">
        <v>77</v>
      </c>
      <c r="F501" s="2" t="s">
        <v>872</v>
      </c>
      <c r="G501" s="2" t="s">
        <v>13</v>
      </c>
      <c r="H501" s="2" t="s">
        <v>573</v>
      </c>
      <c r="I501" s="5" t="str">
        <f>HYPERLINK("http://slimages.macys.com/is/image/MCY/14443000 ")</f>
        <v xml:space="preserve">http://slimages.macys.com/is/image/MCY/14443000 </v>
      </c>
    </row>
    <row r="502" spans="1:9" ht="53" x14ac:dyDescent="0.2">
      <c r="A502" s="2" t="s">
        <v>874</v>
      </c>
      <c r="B502" s="3">
        <v>7</v>
      </c>
      <c r="C502" s="4">
        <v>139.93</v>
      </c>
      <c r="D502" s="3">
        <v>10007797300</v>
      </c>
      <c r="E502" s="2" t="s">
        <v>161</v>
      </c>
      <c r="F502" s="2" t="s">
        <v>872</v>
      </c>
      <c r="G502" s="2" t="s">
        <v>13</v>
      </c>
      <c r="H502" s="2" t="s">
        <v>573</v>
      </c>
      <c r="I502" s="5" t="str">
        <f>HYPERLINK("http://slimages.macys.com/is/image/MCY/13936405 ")</f>
        <v xml:space="preserve">http://slimages.macys.com/is/image/MCY/13936405 </v>
      </c>
    </row>
    <row r="503" spans="1:9" ht="53" x14ac:dyDescent="0.2">
      <c r="A503" s="2" t="s">
        <v>875</v>
      </c>
      <c r="B503" s="3">
        <v>1</v>
      </c>
      <c r="C503" s="4">
        <v>19.989999999999998</v>
      </c>
      <c r="D503" s="3">
        <v>10008576100</v>
      </c>
      <c r="E503" s="2" t="s">
        <v>77</v>
      </c>
      <c r="F503" s="2" t="s">
        <v>872</v>
      </c>
      <c r="G503" s="2" t="s">
        <v>13</v>
      </c>
      <c r="H503" s="2" t="s">
        <v>573</v>
      </c>
      <c r="I503" s="5" t="str">
        <f>HYPERLINK("http://slimages.macys.com/is/image/MCY/15612024 ")</f>
        <v xml:space="preserve">http://slimages.macys.com/is/image/MCY/15612024 </v>
      </c>
    </row>
    <row r="504" spans="1:9" ht="53" x14ac:dyDescent="0.2">
      <c r="A504" s="2" t="s">
        <v>876</v>
      </c>
      <c r="B504" s="3">
        <v>1</v>
      </c>
      <c r="C504" s="4">
        <v>19.989999999999998</v>
      </c>
      <c r="D504" s="3">
        <v>10008581400</v>
      </c>
      <c r="E504" s="2" t="s">
        <v>17</v>
      </c>
      <c r="F504" s="2" t="s">
        <v>870</v>
      </c>
      <c r="G504" s="2" t="s">
        <v>13</v>
      </c>
      <c r="H504" s="2" t="s">
        <v>573</v>
      </c>
      <c r="I504" s="5" t="str">
        <f>HYPERLINK("http://slimages.macys.com/is/image/MCY/15899025 ")</f>
        <v xml:space="preserve">http://slimages.macys.com/is/image/MCY/15899025 </v>
      </c>
    </row>
    <row r="505" spans="1:9" ht="53" x14ac:dyDescent="0.2">
      <c r="A505" s="2" t="s">
        <v>877</v>
      </c>
      <c r="B505" s="3">
        <v>1</v>
      </c>
      <c r="C505" s="4">
        <v>19.989999999999998</v>
      </c>
      <c r="D505" s="3">
        <v>10008582300</v>
      </c>
      <c r="E505" s="2" t="s">
        <v>17</v>
      </c>
      <c r="F505" s="2" t="s">
        <v>870</v>
      </c>
      <c r="G505" s="2" t="s">
        <v>13</v>
      </c>
      <c r="H505" s="2" t="s">
        <v>573</v>
      </c>
      <c r="I505" s="5" t="str">
        <f>HYPERLINK("http://slimages.macys.com/is/image/MCY/15925380 ")</f>
        <v xml:space="preserve">http://slimages.macys.com/is/image/MCY/15925380 </v>
      </c>
    </row>
    <row r="506" spans="1:9" ht="53" x14ac:dyDescent="0.2">
      <c r="A506" s="2" t="s">
        <v>878</v>
      </c>
      <c r="B506" s="3">
        <v>1</v>
      </c>
      <c r="C506" s="4">
        <v>19.989999999999998</v>
      </c>
      <c r="D506" s="3">
        <v>10008582800</v>
      </c>
      <c r="E506" s="2" t="s">
        <v>33</v>
      </c>
      <c r="F506" s="2" t="s">
        <v>870</v>
      </c>
      <c r="G506" s="2" t="s">
        <v>13</v>
      </c>
      <c r="H506" s="2" t="s">
        <v>573</v>
      </c>
      <c r="I506" s="5" t="str">
        <f>HYPERLINK("http://slimages.macys.com/is/image/MCY/15899774 ")</f>
        <v xml:space="preserve">http://slimages.macys.com/is/image/MCY/15899774 </v>
      </c>
    </row>
    <row r="507" spans="1:9" ht="53" x14ac:dyDescent="0.2">
      <c r="A507" s="2" t="s">
        <v>879</v>
      </c>
      <c r="B507" s="3">
        <v>1</v>
      </c>
      <c r="C507" s="4">
        <v>19.989999999999998</v>
      </c>
      <c r="D507" s="3">
        <v>10008453900</v>
      </c>
      <c r="E507" s="2" t="s">
        <v>17</v>
      </c>
      <c r="F507" s="2" t="s">
        <v>870</v>
      </c>
      <c r="G507" s="2" t="s">
        <v>13</v>
      </c>
      <c r="H507" s="2" t="s">
        <v>573</v>
      </c>
      <c r="I507" s="5" t="str">
        <f>HYPERLINK("http://slimages.macys.com/is/image/MCY/15916956 ")</f>
        <v xml:space="preserve">http://slimages.macys.com/is/image/MCY/15916956 </v>
      </c>
    </row>
    <row r="508" spans="1:9" ht="53" x14ac:dyDescent="0.2">
      <c r="A508" s="2" t="s">
        <v>880</v>
      </c>
      <c r="B508" s="3">
        <v>1</v>
      </c>
      <c r="C508" s="4">
        <v>19.989999999999998</v>
      </c>
      <c r="D508" s="3">
        <v>10008575200</v>
      </c>
      <c r="E508" s="2" t="s">
        <v>11</v>
      </c>
      <c r="F508" s="2" t="s">
        <v>872</v>
      </c>
      <c r="G508" s="2" t="s">
        <v>13</v>
      </c>
      <c r="H508" s="2" t="s">
        <v>573</v>
      </c>
      <c r="I508" s="5" t="str">
        <f>HYPERLINK("http://slimages.macys.com/is/image/MCY/15899484 ")</f>
        <v xml:space="preserve">http://slimages.macys.com/is/image/MCY/15899484 </v>
      </c>
    </row>
    <row r="509" spans="1:9" ht="53" x14ac:dyDescent="0.2">
      <c r="A509" s="2" t="s">
        <v>881</v>
      </c>
      <c r="B509" s="3">
        <v>2</v>
      </c>
      <c r="C509" s="4">
        <v>39.979999999999997</v>
      </c>
      <c r="D509" s="3">
        <v>10007798100</v>
      </c>
      <c r="E509" s="2" t="s">
        <v>33</v>
      </c>
      <c r="F509" s="2" t="s">
        <v>870</v>
      </c>
      <c r="G509" s="2" t="s">
        <v>13</v>
      </c>
      <c r="H509" s="2" t="s">
        <v>573</v>
      </c>
      <c r="I509" s="5" t="str">
        <f>HYPERLINK("http://slimages.macys.com/is/image/MCY/14912119 ")</f>
        <v xml:space="preserve">http://slimages.macys.com/is/image/MCY/14912119 </v>
      </c>
    </row>
    <row r="510" spans="1:9" ht="53" x14ac:dyDescent="0.2">
      <c r="A510" s="2" t="s">
        <v>873</v>
      </c>
      <c r="B510" s="3">
        <v>2</v>
      </c>
      <c r="C510" s="4">
        <v>39.979999999999997</v>
      </c>
      <c r="D510" s="3">
        <v>10007797800</v>
      </c>
      <c r="E510" s="2" t="s">
        <v>33</v>
      </c>
      <c r="F510" s="2" t="s">
        <v>870</v>
      </c>
      <c r="G510" s="2" t="s">
        <v>13</v>
      </c>
      <c r="H510" s="2" t="s">
        <v>573</v>
      </c>
      <c r="I510" s="5" t="str">
        <f>HYPERLINK("http://slimages.macys.com/is/image/MCY/14575005 ")</f>
        <v xml:space="preserve">http://slimages.macys.com/is/image/MCY/14575005 </v>
      </c>
    </row>
    <row r="511" spans="1:9" ht="53" x14ac:dyDescent="0.2">
      <c r="A511" s="2" t="s">
        <v>882</v>
      </c>
      <c r="B511" s="3">
        <v>6</v>
      </c>
      <c r="C511" s="4">
        <v>119.94</v>
      </c>
      <c r="D511" s="3">
        <v>10005867000</v>
      </c>
      <c r="E511" s="2" t="s">
        <v>21</v>
      </c>
      <c r="F511" s="2" t="s">
        <v>872</v>
      </c>
      <c r="G511" s="2" t="s">
        <v>13</v>
      </c>
      <c r="H511" s="2" t="s">
        <v>577</v>
      </c>
      <c r="I511" s="5" t="str">
        <f>HYPERLINK("http://slimages.macys.com/is/image/MCY/11607217 ")</f>
        <v xml:space="preserve">http://slimages.macys.com/is/image/MCY/11607217 </v>
      </c>
    </row>
    <row r="512" spans="1:9" ht="53" x14ac:dyDescent="0.2">
      <c r="A512" s="2" t="s">
        <v>883</v>
      </c>
      <c r="B512" s="3">
        <v>4</v>
      </c>
      <c r="C512" s="4">
        <v>79.959999999999994</v>
      </c>
      <c r="D512" s="3">
        <v>10008526500</v>
      </c>
      <c r="E512" s="2" t="s">
        <v>161</v>
      </c>
      <c r="F512" s="2" t="s">
        <v>872</v>
      </c>
      <c r="G512" s="2" t="s">
        <v>13</v>
      </c>
      <c r="H512" s="2" t="s">
        <v>573</v>
      </c>
      <c r="I512" s="5" t="str">
        <f>HYPERLINK("http://slimages.macys.com/is/image/MCY/14814865 ")</f>
        <v xml:space="preserve">http://slimages.macys.com/is/image/MCY/14814865 </v>
      </c>
    </row>
    <row r="513" spans="1:9" ht="53" x14ac:dyDescent="0.2">
      <c r="A513" s="2" t="s">
        <v>878</v>
      </c>
      <c r="B513" s="3">
        <v>1</v>
      </c>
      <c r="C513" s="4">
        <v>19.989999999999998</v>
      </c>
      <c r="D513" s="3">
        <v>10008582800</v>
      </c>
      <c r="E513" s="2" t="s">
        <v>330</v>
      </c>
      <c r="F513" s="2" t="s">
        <v>870</v>
      </c>
      <c r="G513" s="2" t="s">
        <v>13</v>
      </c>
      <c r="H513" s="2" t="s">
        <v>573</v>
      </c>
      <c r="I513" s="5" t="str">
        <f>HYPERLINK("http://slimages.macys.com/is/image/MCY/15899774 ")</f>
        <v xml:space="preserve">http://slimages.macys.com/is/image/MCY/15899774 </v>
      </c>
    </row>
    <row r="514" spans="1:9" ht="53" x14ac:dyDescent="0.2">
      <c r="A514" s="2" t="s">
        <v>884</v>
      </c>
      <c r="B514" s="3">
        <v>1</v>
      </c>
      <c r="C514" s="4">
        <v>19.989999999999998</v>
      </c>
      <c r="D514" s="3">
        <v>10008451700</v>
      </c>
      <c r="E514" s="2" t="s">
        <v>17</v>
      </c>
      <c r="F514" s="2" t="s">
        <v>872</v>
      </c>
      <c r="G514" s="2" t="s">
        <v>13</v>
      </c>
      <c r="H514" s="2" t="s">
        <v>573</v>
      </c>
      <c r="I514" s="5" t="str">
        <f>HYPERLINK("http://slimages.macys.com/is/image/MCY/15362321 ")</f>
        <v xml:space="preserve">http://slimages.macys.com/is/image/MCY/15362321 </v>
      </c>
    </row>
    <row r="515" spans="1:9" ht="53" x14ac:dyDescent="0.2">
      <c r="A515" s="2" t="s">
        <v>885</v>
      </c>
      <c r="B515" s="3">
        <v>1</v>
      </c>
      <c r="C515" s="4">
        <v>19.989999999999998</v>
      </c>
      <c r="D515" s="3">
        <v>10008452000</v>
      </c>
      <c r="E515" s="2" t="s">
        <v>33</v>
      </c>
      <c r="F515" s="2" t="s">
        <v>872</v>
      </c>
      <c r="G515" s="2" t="s">
        <v>13</v>
      </c>
      <c r="H515" s="2" t="s">
        <v>573</v>
      </c>
      <c r="I515" s="5" t="str">
        <f>HYPERLINK("http://slimages.macys.com/is/image/MCY/15362420 ")</f>
        <v xml:space="preserve">http://slimages.macys.com/is/image/MCY/15362420 </v>
      </c>
    </row>
    <row r="516" spans="1:9" ht="53" x14ac:dyDescent="0.2">
      <c r="A516" s="2" t="s">
        <v>886</v>
      </c>
      <c r="B516" s="3">
        <v>1</v>
      </c>
      <c r="C516" s="4">
        <v>19.989999999999998</v>
      </c>
      <c r="D516" s="3">
        <v>10008452200</v>
      </c>
      <c r="E516" s="2" t="s">
        <v>161</v>
      </c>
      <c r="F516" s="2" t="s">
        <v>872</v>
      </c>
      <c r="G516" s="2" t="s">
        <v>13</v>
      </c>
      <c r="H516" s="2" t="s">
        <v>573</v>
      </c>
      <c r="I516" s="5" t="str">
        <f>HYPERLINK("http://slimages.macys.com/is/image/MCY/15362426 ")</f>
        <v xml:space="preserve">http://slimages.macys.com/is/image/MCY/15362426 </v>
      </c>
    </row>
    <row r="517" spans="1:9" ht="53" x14ac:dyDescent="0.2">
      <c r="A517" s="2" t="s">
        <v>887</v>
      </c>
      <c r="B517" s="3">
        <v>1</v>
      </c>
      <c r="C517" s="4">
        <v>19.989999999999998</v>
      </c>
      <c r="D517" s="3">
        <v>10007798400</v>
      </c>
      <c r="E517" s="2" t="s">
        <v>330</v>
      </c>
      <c r="F517" s="2" t="s">
        <v>870</v>
      </c>
      <c r="G517" s="2" t="s">
        <v>13</v>
      </c>
      <c r="H517" s="2" t="s">
        <v>573</v>
      </c>
      <c r="I517" s="5" t="str">
        <f>HYPERLINK("http://slimages.macys.com/is/image/MCY/14912134 ")</f>
        <v xml:space="preserve">http://slimages.macys.com/is/image/MCY/14912134 </v>
      </c>
    </row>
    <row r="518" spans="1:9" ht="53" x14ac:dyDescent="0.2">
      <c r="A518" s="2" t="s">
        <v>888</v>
      </c>
      <c r="B518" s="3">
        <v>1</v>
      </c>
      <c r="C518" s="4">
        <v>19.989999999999998</v>
      </c>
      <c r="D518" s="3">
        <v>10008575000</v>
      </c>
      <c r="E518" s="2" t="s">
        <v>11</v>
      </c>
      <c r="F518" s="2" t="s">
        <v>872</v>
      </c>
      <c r="G518" s="2" t="s">
        <v>13</v>
      </c>
      <c r="H518" s="2" t="s">
        <v>573</v>
      </c>
      <c r="I518" s="5" t="str">
        <f>HYPERLINK("http://slimages.macys.com/is/image/MCY/15899453 ")</f>
        <v xml:space="preserve">http://slimages.macys.com/is/image/MCY/15899453 </v>
      </c>
    </row>
    <row r="519" spans="1:9" ht="53" x14ac:dyDescent="0.2">
      <c r="A519" s="2" t="s">
        <v>889</v>
      </c>
      <c r="B519" s="3">
        <v>1</v>
      </c>
      <c r="C519" s="4">
        <v>19.989999999999998</v>
      </c>
      <c r="D519" s="3">
        <v>10008582600</v>
      </c>
      <c r="E519" s="2" t="s">
        <v>17</v>
      </c>
      <c r="F519" s="2" t="s">
        <v>870</v>
      </c>
      <c r="G519" s="2" t="s">
        <v>13</v>
      </c>
      <c r="H519" s="2" t="s">
        <v>680</v>
      </c>
      <c r="I519" s="5" t="str">
        <f>HYPERLINK("http://slimages.macys.com/is/image/MCY/15899087 ")</f>
        <v xml:space="preserve">http://slimages.macys.com/is/image/MCY/15899087 </v>
      </c>
    </row>
    <row r="520" spans="1:9" ht="53" x14ac:dyDescent="0.2">
      <c r="A520" s="2" t="s">
        <v>890</v>
      </c>
      <c r="B520" s="3">
        <v>1</v>
      </c>
      <c r="C520" s="4">
        <v>19.989999999999998</v>
      </c>
      <c r="D520" s="3">
        <v>10006040400</v>
      </c>
      <c r="E520" s="2" t="s">
        <v>330</v>
      </c>
      <c r="F520" s="2" t="s">
        <v>870</v>
      </c>
      <c r="G520" s="2" t="s">
        <v>13</v>
      </c>
      <c r="H520" s="2" t="s">
        <v>35</v>
      </c>
      <c r="I520" s="5" t="str">
        <f>HYPERLINK("http://slimages.macys.com/is/image/MCY/11858096 ")</f>
        <v xml:space="preserve">http://slimages.macys.com/is/image/MCY/11858096 </v>
      </c>
    </row>
    <row r="521" spans="1:9" ht="53" x14ac:dyDescent="0.2">
      <c r="A521" s="2" t="s">
        <v>891</v>
      </c>
      <c r="B521" s="3">
        <v>1</v>
      </c>
      <c r="C521" s="4">
        <v>19.989999999999998</v>
      </c>
      <c r="D521" s="3">
        <v>10006040200</v>
      </c>
      <c r="E521" s="2" t="s">
        <v>330</v>
      </c>
      <c r="F521" s="2" t="s">
        <v>870</v>
      </c>
      <c r="G521" s="2" t="s">
        <v>13</v>
      </c>
      <c r="H521" s="2" t="s">
        <v>577</v>
      </c>
      <c r="I521" s="5" t="str">
        <f>HYPERLINK("http://slimages.macys.com/is/image/MCY/11465093 ")</f>
        <v xml:space="preserve">http://slimages.macys.com/is/image/MCY/11465093 </v>
      </c>
    </row>
    <row r="522" spans="1:9" ht="53" x14ac:dyDescent="0.2">
      <c r="A522" s="2" t="s">
        <v>892</v>
      </c>
      <c r="B522" s="3">
        <v>2</v>
      </c>
      <c r="C522" s="4">
        <v>39.979999999999997</v>
      </c>
      <c r="D522" s="3">
        <v>10007798300</v>
      </c>
      <c r="E522" s="2" t="s">
        <v>330</v>
      </c>
      <c r="F522" s="2" t="s">
        <v>870</v>
      </c>
      <c r="G522" s="2" t="s">
        <v>13</v>
      </c>
      <c r="H522" s="2" t="s">
        <v>573</v>
      </c>
      <c r="I522" s="5" t="str">
        <f>HYPERLINK("http://slimages.macys.com/is/image/MCY/14912131 ")</f>
        <v xml:space="preserve">http://slimages.macys.com/is/image/MCY/14912131 </v>
      </c>
    </row>
    <row r="523" spans="1:9" ht="53" x14ac:dyDescent="0.2">
      <c r="A523" s="2" t="s">
        <v>893</v>
      </c>
      <c r="B523" s="3">
        <v>1</v>
      </c>
      <c r="C523" s="4">
        <v>19.989999999999998</v>
      </c>
      <c r="D523" s="3">
        <v>10007797200</v>
      </c>
      <c r="E523" s="2" t="s">
        <v>323</v>
      </c>
      <c r="F523" s="2" t="s">
        <v>872</v>
      </c>
      <c r="G523" s="2" t="s">
        <v>13</v>
      </c>
      <c r="H523" s="2" t="s">
        <v>537</v>
      </c>
      <c r="I523" s="5" t="str">
        <f>HYPERLINK("http://slimages.macys.com/is/image/MCY/13784594 ")</f>
        <v xml:space="preserve">http://slimages.macys.com/is/image/MCY/13784594 </v>
      </c>
    </row>
    <row r="524" spans="1:9" ht="53" x14ac:dyDescent="0.2">
      <c r="A524" s="2" t="s">
        <v>874</v>
      </c>
      <c r="B524" s="3">
        <v>4</v>
      </c>
      <c r="C524" s="4">
        <v>79.959999999999994</v>
      </c>
      <c r="D524" s="3">
        <v>10007797300</v>
      </c>
      <c r="E524" s="2" t="s">
        <v>17</v>
      </c>
      <c r="F524" s="2" t="s">
        <v>872</v>
      </c>
      <c r="G524" s="2" t="s">
        <v>13</v>
      </c>
      <c r="H524" s="2" t="s">
        <v>573</v>
      </c>
      <c r="I524" s="5" t="str">
        <f>HYPERLINK("http://slimages.macys.com/is/image/MCY/13936405 ")</f>
        <v xml:space="preserve">http://slimages.macys.com/is/image/MCY/13936405 </v>
      </c>
    </row>
    <row r="525" spans="1:9" ht="53" x14ac:dyDescent="0.2">
      <c r="A525" s="2" t="s">
        <v>894</v>
      </c>
      <c r="B525" s="3">
        <v>1</v>
      </c>
      <c r="C525" s="4">
        <v>19.989999999999998</v>
      </c>
      <c r="D525" s="3">
        <v>10007797100</v>
      </c>
      <c r="E525" s="2" t="s">
        <v>161</v>
      </c>
      <c r="F525" s="2" t="s">
        <v>872</v>
      </c>
      <c r="G525" s="2" t="s">
        <v>13</v>
      </c>
      <c r="H525" s="2" t="s">
        <v>573</v>
      </c>
      <c r="I525" s="5" t="str">
        <f>HYPERLINK("http://slimages.macys.com/is/image/MCY/13936361 ")</f>
        <v xml:space="preserve">http://slimages.macys.com/is/image/MCY/13936361 </v>
      </c>
    </row>
    <row r="526" spans="1:9" ht="53" x14ac:dyDescent="0.2">
      <c r="A526" s="2" t="s">
        <v>894</v>
      </c>
      <c r="B526" s="3">
        <v>3</v>
      </c>
      <c r="C526" s="4">
        <v>59.97</v>
      </c>
      <c r="D526" s="3">
        <v>10007797100</v>
      </c>
      <c r="E526" s="2" t="s">
        <v>11</v>
      </c>
      <c r="F526" s="2" t="s">
        <v>872</v>
      </c>
      <c r="G526" s="2" t="s">
        <v>13</v>
      </c>
      <c r="H526" s="2" t="s">
        <v>573</v>
      </c>
      <c r="I526" s="5" t="str">
        <f>HYPERLINK("http://slimages.macys.com/is/image/MCY/13936361 ")</f>
        <v xml:space="preserve">http://slimages.macys.com/is/image/MCY/13936361 </v>
      </c>
    </row>
    <row r="527" spans="1:9" ht="53" x14ac:dyDescent="0.2">
      <c r="A527" s="2" t="s">
        <v>871</v>
      </c>
      <c r="B527" s="3">
        <v>1</v>
      </c>
      <c r="C527" s="4">
        <v>19.989999999999998</v>
      </c>
      <c r="D527" s="3">
        <v>10008040100</v>
      </c>
      <c r="E527" s="2" t="s">
        <v>197</v>
      </c>
      <c r="F527" s="2" t="s">
        <v>872</v>
      </c>
      <c r="G527" s="2" t="s">
        <v>13</v>
      </c>
      <c r="H527" s="2" t="s">
        <v>573</v>
      </c>
      <c r="I527" s="5" t="str">
        <f>HYPERLINK("http://slimages.macys.com/is/image/MCY/14443000 ")</f>
        <v xml:space="preserve">http://slimages.macys.com/is/image/MCY/14443000 </v>
      </c>
    </row>
    <row r="528" spans="1:9" ht="53" x14ac:dyDescent="0.2">
      <c r="A528" s="2" t="s">
        <v>871</v>
      </c>
      <c r="B528" s="3">
        <v>2</v>
      </c>
      <c r="C528" s="4">
        <v>39.979999999999997</v>
      </c>
      <c r="D528" s="3">
        <v>10008040100</v>
      </c>
      <c r="E528" s="2" t="s">
        <v>161</v>
      </c>
      <c r="F528" s="2" t="s">
        <v>872</v>
      </c>
      <c r="G528" s="2" t="s">
        <v>13</v>
      </c>
      <c r="H528" s="2" t="s">
        <v>573</v>
      </c>
      <c r="I528" s="5" t="str">
        <f>HYPERLINK("http://slimages.macys.com/is/image/MCY/14443000 ")</f>
        <v xml:space="preserve">http://slimages.macys.com/is/image/MCY/14443000 </v>
      </c>
    </row>
    <row r="529" spans="1:9" ht="53" x14ac:dyDescent="0.2">
      <c r="A529" s="2" t="s">
        <v>895</v>
      </c>
      <c r="B529" s="3">
        <v>1</v>
      </c>
      <c r="C529" s="4">
        <v>24.99</v>
      </c>
      <c r="D529" s="3" t="s">
        <v>896</v>
      </c>
      <c r="E529" s="2" t="s">
        <v>262</v>
      </c>
      <c r="F529" s="2" t="s">
        <v>449</v>
      </c>
      <c r="G529" s="2" t="s">
        <v>13</v>
      </c>
      <c r="H529" s="2" t="s">
        <v>112</v>
      </c>
      <c r="I529" s="5" t="str">
        <f>HYPERLINK("http://slimages.macys.com/is/image/MCY/14456412 ")</f>
        <v xml:space="preserve">http://slimages.macys.com/is/image/MCY/14456412 </v>
      </c>
    </row>
    <row r="530" spans="1:9" ht="53" x14ac:dyDescent="0.2">
      <c r="A530" s="2" t="s">
        <v>897</v>
      </c>
      <c r="B530" s="3">
        <v>1</v>
      </c>
      <c r="C530" s="4">
        <v>12.99</v>
      </c>
      <c r="D530" s="3" t="s">
        <v>898</v>
      </c>
      <c r="E530" s="2" t="s">
        <v>106</v>
      </c>
      <c r="F530" s="2" t="s">
        <v>703</v>
      </c>
      <c r="G530" s="2" t="s">
        <v>13</v>
      </c>
      <c r="H530" s="2" t="s">
        <v>680</v>
      </c>
      <c r="I530" s="5" t="str">
        <f>HYPERLINK("http://slimages.macys.com/is/image/MCY/10470462 ")</f>
        <v xml:space="preserve">http://slimages.macys.com/is/image/MCY/10470462 </v>
      </c>
    </row>
    <row r="531" spans="1:9" ht="53" x14ac:dyDescent="0.2">
      <c r="A531" s="2" t="s">
        <v>899</v>
      </c>
      <c r="B531" s="3">
        <v>1</v>
      </c>
      <c r="C531" s="4">
        <v>12.99</v>
      </c>
      <c r="D531" s="3" t="s">
        <v>900</v>
      </c>
      <c r="E531" s="2" t="s">
        <v>33</v>
      </c>
      <c r="F531" s="2" t="s">
        <v>703</v>
      </c>
      <c r="G531" s="2" t="s">
        <v>13</v>
      </c>
      <c r="H531" s="2" t="s">
        <v>680</v>
      </c>
      <c r="I531" s="5" t="str">
        <f>HYPERLINK("http://slimages.macys.com/is/image/MCY/10469369 ")</f>
        <v xml:space="preserve">http://slimages.macys.com/is/image/MCY/10469369 </v>
      </c>
    </row>
    <row r="532" spans="1:9" ht="53" x14ac:dyDescent="0.2">
      <c r="A532" s="2" t="s">
        <v>899</v>
      </c>
      <c r="B532" s="3">
        <v>1</v>
      </c>
      <c r="C532" s="4">
        <v>12.99</v>
      </c>
      <c r="D532" s="3" t="s">
        <v>900</v>
      </c>
      <c r="E532" s="2" t="s">
        <v>17</v>
      </c>
      <c r="F532" s="2" t="s">
        <v>703</v>
      </c>
      <c r="G532" s="2" t="s">
        <v>13</v>
      </c>
      <c r="H532" s="2" t="s">
        <v>680</v>
      </c>
      <c r="I532" s="5" t="str">
        <f>HYPERLINK("http://slimages.macys.com/is/image/MCY/10469369 ")</f>
        <v xml:space="preserve">http://slimages.macys.com/is/image/MCY/10469369 </v>
      </c>
    </row>
    <row r="533" spans="1:9" ht="53" x14ac:dyDescent="0.2">
      <c r="A533" s="2" t="s">
        <v>901</v>
      </c>
      <c r="B533" s="3">
        <v>1</v>
      </c>
      <c r="C533" s="4">
        <v>12.99</v>
      </c>
      <c r="D533" s="3" t="s">
        <v>902</v>
      </c>
      <c r="E533" s="2" t="s">
        <v>148</v>
      </c>
      <c r="F533" s="2" t="s">
        <v>703</v>
      </c>
      <c r="G533" s="2" t="s">
        <v>13</v>
      </c>
      <c r="H533" s="2" t="s">
        <v>680</v>
      </c>
      <c r="I533" s="5" t="str">
        <f>HYPERLINK("http://slimages.macys.com/is/image/MCY/10470310 ")</f>
        <v xml:space="preserve">http://slimages.macys.com/is/image/MCY/10470310 </v>
      </c>
    </row>
    <row r="534" spans="1:9" ht="53" x14ac:dyDescent="0.2">
      <c r="A534" s="2" t="s">
        <v>901</v>
      </c>
      <c r="B534" s="3">
        <v>1</v>
      </c>
      <c r="C534" s="4">
        <v>12.99</v>
      </c>
      <c r="D534" s="3" t="s">
        <v>902</v>
      </c>
      <c r="E534" s="2" t="s">
        <v>148</v>
      </c>
      <c r="F534" s="2" t="s">
        <v>703</v>
      </c>
      <c r="G534" s="2" t="s">
        <v>13</v>
      </c>
      <c r="H534" s="2" t="s">
        <v>680</v>
      </c>
      <c r="I534" s="5" t="str">
        <f>HYPERLINK("http://slimages.macys.com/is/image/MCY/10470310 ")</f>
        <v xml:space="preserve">http://slimages.macys.com/is/image/MCY/10470310 </v>
      </c>
    </row>
    <row r="535" spans="1:9" ht="53" x14ac:dyDescent="0.2">
      <c r="A535" s="2" t="s">
        <v>901</v>
      </c>
      <c r="B535" s="3">
        <v>1</v>
      </c>
      <c r="C535" s="4">
        <v>12.99</v>
      </c>
      <c r="D535" s="3" t="s">
        <v>902</v>
      </c>
      <c r="E535" s="2" t="s">
        <v>148</v>
      </c>
      <c r="F535" s="2" t="s">
        <v>703</v>
      </c>
      <c r="G535" s="2" t="s">
        <v>13</v>
      </c>
      <c r="H535" s="2" t="s">
        <v>680</v>
      </c>
      <c r="I535" s="5" t="str">
        <f>HYPERLINK("http://slimages.macys.com/is/image/MCY/10470310 ")</f>
        <v xml:space="preserve">http://slimages.macys.com/is/image/MCY/10470310 </v>
      </c>
    </row>
    <row r="536" spans="1:9" ht="53" x14ac:dyDescent="0.2">
      <c r="A536" s="2" t="s">
        <v>903</v>
      </c>
      <c r="B536" s="3">
        <v>2</v>
      </c>
      <c r="C536" s="4">
        <v>39.979999999999997</v>
      </c>
      <c r="D536" s="3">
        <v>10006792500</v>
      </c>
      <c r="E536" s="2" t="s">
        <v>323</v>
      </c>
      <c r="F536" s="2" t="s">
        <v>872</v>
      </c>
      <c r="G536" s="2" t="s">
        <v>13</v>
      </c>
      <c r="H536" s="2" t="s">
        <v>577</v>
      </c>
      <c r="I536" s="5" t="str">
        <f>HYPERLINK("http://slimages.macys.com/is/image/MCY/12712157 ")</f>
        <v xml:space="preserve">http://slimages.macys.com/is/image/MCY/12712157 </v>
      </c>
    </row>
    <row r="537" spans="1:9" ht="53" x14ac:dyDescent="0.2">
      <c r="A537" s="2" t="s">
        <v>904</v>
      </c>
      <c r="B537" s="3">
        <v>1</v>
      </c>
      <c r="C537" s="4">
        <v>20</v>
      </c>
      <c r="D537" s="3">
        <v>10340005</v>
      </c>
      <c r="E537" s="2" t="s">
        <v>167</v>
      </c>
      <c r="F537" s="2" t="s">
        <v>905</v>
      </c>
      <c r="G537" s="2" t="s">
        <v>13</v>
      </c>
      <c r="H537" s="2" t="s">
        <v>112</v>
      </c>
      <c r="I537" s="5" t="str">
        <f>HYPERLINK("http://slimages.macys.com/is/image/MCY/10210511 ")</f>
        <v xml:space="preserve">http://slimages.macys.com/is/image/MCY/10210511 </v>
      </c>
    </row>
    <row r="538" spans="1:9" ht="66" x14ac:dyDescent="0.2">
      <c r="A538" s="2" t="s">
        <v>906</v>
      </c>
      <c r="B538" s="3">
        <v>1</v>
      </c>
      <c r="C538" s="4">
        <v>24</v>
      </c>
      <c r="D538" s="3">
        <v>100084675</v>
      </c>
      <c r="E538" s="2" t="s">
        <v>77</v>
      </c>
      <c r="F538" s="2" t="s">
        <v>907</v>
      </c>
      <c r="G538" s="2" t="s">
        <v>13</v>
      </c>
      <c r="H538" s="2" t="s">
        <v>98</v>
      </c>
      <c r="I538" s="5" t="str">
        <f>HYPERLINK("http://slimages.macys.com/is/image/MCY/15863298 ")</f>
        <v xml:space="preserve">http://slimages.macys.com/is/image/MCY/15863298 </v>
      </c>
    </row>
    <row r="539" spans="1:9" ht="53" x14ac:dyDescent="0.2">
      <c r="A539" s="2" t="s">
        <v>908</v>
      </c>
      <c r="B539" s="3">
        <v>1</v>
      </c>
      <c r="C539" s="4">
        <v>24.5</v>
      </c>
      <c r="D539" s="3">
        <v>100018972</v>
      </c>
      <c r="E539" s="2" t="s">
        <v>167</v>
      </c>
      <c r="F539" s="2" t="s">
        <v>210</v>
      </c>
      <c r="G539" s="2" t="s">
        <v>13</v>
      </c>
      <c r="H539" s="2" t="s">
        <v>118</v>
      </c>
      <c r="I539" s="5" t="str">
        <f>HYPERLINK("http://slimages.macys.com/is/image/MCY/9805804 ")</f>
        <v xml:space="preserve">http://slimages.macys.com/is/image/MCY/9805804 </v>
      </c>
    </row>
    <row r="540" spans="1:9" ht="66" x14ac:dyDescent="0.2">
      <c r="A540" s="2" t="s">
        <v>909</v>
      </c>
      <c r="B540" s="3">
        <v>1</v>
      </c>
      <c r="C540" s="4">
        <v>21</v>
      </c>
      <c r="D540" s="3" t="s">
        <v>910</v>
      </c>
      <c r="E540" s="2" t="s">
        <v>11</v>
      </c>
      <c r="F540" s="2" t="s">
        <v>911</v>
      </c>
      <c r="G540" s="2" t="s">
        <v>138</v>
      </c>
      <c r="H540" s="2" t="s">
        <v>199</v>
      </c>
      <c r="I540" s="5" t="str">
        <f>HYPERLINK("http://images.bloomingdales.com/is/image/BLM/9292151 ")</f>
        <v xml:space="preserve">http://images.bloomingdales.com/is/image/BLM/9292151 </v>
      </c>
    </row>
    <row r="541" spans="1:9" ht="53" x14ac:dyDescent="0.2">
      <c r="A541" s="2" t="s">
        <v>912</v>
      </c>
      <c r="B541" s="3">
        <v>1</v>
      </c>
      <c r="C541" s="4">
        <v>12.99</v>
      </c>
      <c r="D541" s="3" t="s">
        <v>913</v>
      </c>
      <c r="E541" s="2"/>
      <c r="F541" s="2" t="s">
        <v>914</v>
      </c>
      <c r="G541" s="2" t="s">
        <v>13</v>
      </c>
      <c r="H541" s="2" t="s">
        <v>35</v>
      </c>
      <c r="I541" s="5" t="str">
        <f>HYPERLINK("http://slimages.macys.com/is/image/MCY/14573008 ")</f>
        <v xml:space="preserve">http://slimages.macys.com/is/image/MCY/14573008 </v>
      </c>
    </row>
    <row r="542" spans="1:9" ht="53" x14ac:dyDescent="0.2">
      <c r="A542" s="2" t="s">
        <v>915</v>
      </c>
      <c r="B542" s="3">
        <v>1</v>
      </c>
      <c r="C542" s="4">
        <v>24.99</v>
      </c>
      <c r="D542" s="3" t="s">
        <v>916</v>
      </c>
      <c r="E542" s="2" t="s">
        <v>553</v>
      </c>
      <c r="F542" s="2" t="s">
        <v>449</v>
      </c>
      <c r="G542" s="2" t="s">
        <v>13</v>
      </c>
      <c r="H542" s="2" t="s">
        <v>481</v>
      </c>
      <c r="I542" s="5" t="str">
        <f>HYPERLINK("http://slimages.macys.com/is/image/MCY/10701104 ")</f>
        <v xml:space="preserve">http://slimages.macys.com/is/image/MCY/10701104 </v>
      </c>
    </row>
    <row r="543" spans="1:9" ht="53" x14ac:dyDescent="0.2">
      <c r="A543" s="2" t="s">
        <v>917</v>
      </c>
      <c r="B543" s="3">
        <v>1</v>
      </c>
      <c r="C543" s="4">
        <v>24</v>
      </c>
      <c r="D543" s="3" t="s">
        <v>918</v>
      </c>
      <c r="E543" s="2" t="s">
        <v>161</v>
      </c>
      <c r="F543" s="2" t="s">
        <v>919</v>
      </c>
      <c r="G543" s="2" t="s">
        <v>13</v>
      </c>
      <c r="H543" s="2" t="s">
        <v>118</v>
      </c>
      <c r="I543" s="5" t="str">
        <f>HYPERLINK("http://slimages.macys.com/is/image/MCY/16490597 ")</f>
        <v xml:space="preserve">http://slimages.macys.com/is/image/MCY/16490597 </v>
      </c>
    </row>
    <row r="544" spans="1:9" ht="66" x14ac:dyDescent="0.2">
      <c r="A544" s="2" t="s">
        <v>920</v>
      </c>
      <c r="B544" s="3">
        <v>1</v>
      </c>
      <c r="C544" s="4">
        <v>24</v>
      </c>
      <c r="D544" s="3">
        <v>100084673</v>
      </c>
      <c r="E544" s="2" t="s">
        <v>17</v>
      </c>
      <c r="F544" s="2" t="s">
        <v>907</v>
      </c>
      <c r="G544" s="2" t="s">
        <v>13</v>
      </c>
      <c r="H544" s="2" t="s">
        <v>118</v>
      </c>
      <c r="I544" s="5" t="str">
        <f>HYPERLINK("http://slimages.macys.com/is/image/MCY/16195885 ")</f>
        <v xml:space="preserve">http://slimages.macys.com/is/image/MCY/16195885 </v>
      </c>
    </row>
    <row r="545" spans="1:9" ht="66" x14ac:dyDescent="0.2">
      <c r="A545" s="2" t="s">
        <v>921</v>
      </c>
      <c r="B545" s="3">
        <v>1</v>
      </c>
      <c r="C545" s="4">
        <v>12.98</v>
      </c>
      <c r="D545" s="3" t="s">
        <v>922</v>
      </c>
      <c r="E545" s="2" t="s">
        <v>161</v>
      </c>
      <c r="F545" s="2" t="s">
        <v>923</v>
      </c>
      <c r="G545" s="2" t="s">
        <v>13</v>
      </c>
      <c r="H545" s="2" t="s">
        <v>118</v>
      </c>
      <c r="I545" s="5" t="str">
        <f>HYPERLINK("http://slimages.macys.com/is/image/MCY/14725982 ")</f>
        <v xml:space="preserve">http://slimages.macys.com/is/image/MCY/14725982 </v>
      </c>
    </row>
    <row r="546" spans="1:9" ht="53" x14ac:dyDescent="0.2">
      <c r="A546" s="2" t="s">
        <v>924</v>
      </c>
      <c r="B546" s="3">
        <v>4</v>
      </c>
      <c r="C546" s="4">
        <v>59.96</v>
      </c>
      <c r="D546" s="3">
        <v>10006150200</v>
      </c>
      <c r="E546" s="2" t="s">
        <v>106</v>
      </c>
      <c r="F546" s="2" t="s">
        <v>536</v>
      </c>
      <c r="G546" s="2" t="s">
        <v>13</v>
      </c>
      <c r="H546" s="2" t="s">
        <v>537</v>
      </c>
      <c r="I546" s="5" t="str">
        <f>HYPERLINK("http://slimages.macys.com/is/image/MCY/12301987 ")</f>
        <v xml:space="preserve">http://slimages.macys.com/is/image/MCY/12301987 </v>
      </c>
    </row>
    <row r="547" spans="1:9" ht="53" x14ac:dyDescent="0.2">
      <c r="A547" s="2" t="s">
        <v>925</v>
      </c>
      <c r="B547" s="3">
        <v>2</v>
      </c>
      <c r="C547" s="4">
        <v>29.98</v>
      </c>
      <c r="D547" s="3">
        <v>10006150200</v>
      </c>
      <c r="E547" s="2" t="s">
        <v>225</v>
      </c>
      <c r="F547" s="2" t="s">
        <v>536</v>
      </c>
      <c r="G547" s="2" t="s">
        <v>13</v>
      </c>
      <c r="H547" s="2" t="s">
        <v>537</v>
      </c>
      <c r="I547" s="5" t="str">
        <f>HYPERLINK("http://slimages.macys.com/is/image/MCY/12301987 ")</f>
        <v xml:space="preserve">http://slimages.macys.com/is/image/MCY/12301987 </v>
      </c>
    </row>
    <row r="548" spans="1:9" ht="53" x14ac:dyDescent="0.2">
      <c r="A548" s="2" t="s">
        <v>926</v>
      </c>
      <c r="B548" s="3">
        <v>1</v>
      </c>
      <c r="C548" s="4">
        <v>12.99</v>
      </c>
      <c r="D548" s="3" t="s">
        <v>927</v>
      </c>
      <c r="E548" s="2" t="s">
        <v>33</v>
      </c>
      <c r="F548" s="2" t="s">
        <v>928</v>
      </c>
      <c r="G548" s="2" t="s">
        <v>13</v>
      </c>
      <c r="H548" s="2" t="s">
        <v>118</v>
      </c>
      <c r="I548" s="5" t="str">
        <f>HYPERLINK("http://slimages.macys.com/is/image/MCY/15550079 ")</f>
        <v xml:space="preserve">http://slimages.macys.com/is/image/MCY/15550079 </v>
      </c>
    </row>
    <row r="549" spans="1:9" ht="53" x14ac:dyDescent="0.2">
      <c r="A549" s="2" t="s">
        <v>929</v>
      </c>
      <c r="B549" s="3">
        <v>1</v>
      </c>
      <c r="C549" s="4">
        <v>19.989999999999998</v>
      </c>
      <c r="D549" s="3" t="s">
        <v>930</v>
      </c>
      <c r="E549" s="2" t="s">
        <v>49</v>
      </c>
      <c r="F549" s="2" t="s">
        <v>449</v>
      </c>
      <c r="G549" s="2" t="s">
        <v>13</v>
      </c>
      <c r="H549" s="2" t="s">
        <v>112</v>
      </c>
      <c r="I549" s="5" t="str">
        <f>HYPERLINK("http://slimages.macys.com/is/image/MCY/8999586 ")</f>
        <v xml:space="preserve">http://slimages.macys.com/is/image/MCY/8999586 </v>
      </c>
    </row>
    <row r="550" spans="1:9" ht="53" x14ac:dyDescent="0.2">
      <c r="A550" s="2" t="s">
        <v>931</v>
      </c>
      <c r="B550" s="3">
        <v>1</v>
      </c>
      <c r="C550" s="4">
        <v>10</v>
      </c>
      <c r="D550" s="3" t="s">
        <v>932</v>
      </c>
      <c r="E550" s="2" t="s">
        <v>49</v>
      </c>
      <c r="F550" s="2" t="s">
        <v>933</v>
      </c>
      <c r="G550" s="2" t="s">
        <v>13</v>
      </c>
      <c r="H550" s="2" t="s">
        <v>112</v>
      </c>
      <c r="I550" s="5" t="str">
        <f>HYPERLINK("http://slimages.macys.com/is/image/MCY/11252131 ")</f>
        <v xml:space="preserve">http://slimages.macys.com/is/image/MCY/11252131 </v>
      </c>
    </row>
    <row r="551" spans="1:9" ht="53" x14ac:dyDescent="0.2">
      <c r="A551" s="2" t="s">
        <v>934</v>
      </c>
      <c r="B551" s="3">
        <v>1</v>
      </c>
      <c r="C551" s="4">
        <v>10</v>
      </c>
      <c r="D551" s="3" t="s">
        <v>935</v>
      </c>
      <c r="E551" s="2" t="s">
        <v>148</v>
      </c>
      <c r="F551" s="2" t="s">
        <v>936</v>
      </c>
      <c r="G551" s="2" t="s">
        <v>13</v>
      </c>
      <c r="H551" s="2" t="s">
        <v>937</v>
      </c>
      <c r="I551" s="5" t="str">
        <f>HYPERLINK("http://slimages.macys.com/is/image/MCY/14800571 ")</f>
        <v xml:space="preserve">http://slimages.macys.com/is/image/MCY/14800571 </v>
      </c>
    </row>
    <row r="552" spans="1:9" ht="53" x14ac:dyDescent="0.2">
      <c r="A552" s="2" t="s">
        <v>938</v>
      </c>
      <c r="B552" s="3">
        <v>1</v>
      </c>
      <c r="C552" s="4">
        <v>12.99</v>
      </c>
      <c r="D552" s="3">
        <v>100008411</v>
      </c>
      <c r="E552" s="2" t="s">
        <v>106</v>
      </c>
      <c r="F552" s="2" t="s">
        <v>449</v>
      </c>
      <c r="G552" s="2" t="s">
        <v>13</v>
      </c>
      <c r="H552" s="2" t="s">
        <v>112</v>
      </c>
      <c r="I552" s="5" t="str">
        <f>HYPERLINK("http://slimages.macys.com/is/image/MCY/11688867 ")</f>
        <v xml:space="preserve">http://slimages.macys.com/is/image/MCY/11688867 </v>
      </c>
    </row>
    <row r="553" spans="1:9" ht="53" x14ac:dyDescent="0.2">
      <c r="A553" s="2" t="s">
        <v>938</v>
      </c>
      <c r="B553" s="3">
        <v>3</v>
      </c>
      <c r="C553" s="4">
        <v>38.97</v>
      </c>
      <c r="D553" s="3">
        <v>100008411</v>
      </c>
      <c r="E553" s="2" t="s">
        <v>106</v>
      </c>
      <c r="F553" s="2" t="s">
        <v>449</v>
      </c>
      <c r="G553" s="2" t="s">
        <v>13</v>
      </c>
      <c r="H553" s="2" t="s">
        <v>112</v>
      </c>
      <c r="I553" s="5" t="str">
        <f>HYPERLINK("http://slimages.macys.com/is/image/MCY/11688867 ")</f>
        <v xml:space="preserve">http://slimages.macys.com/is/image/MCY/11688867 </v>
      </c>
    </row>
    <row r="554" spans="1:9" ht="53" x14ac:dyDescent="0.2">
      <c r="A554" s="2" t="s">
        <v>939</v>
      </c>
      <c r="B554" s="3">
        <v>1</v>
      </c>
      <c r="C554" s="4">
        <v>6</v>
      </c>
      <c r="D554" s="3">
        <v>100012365</v>
      </c>
      <c r="E554" s="2" t="s">
        <v>11</v>
      </c>
      <c r="F554" s="2" t="s">
        <v>940</v>
      </c>
      <c r="G554" s="2" t="s">
        <v>13</v>
      </c>
      <c r="H554" s="2" t="s">
        <v>941</v>
      </c>
      <c r="I554" s="5" t="str">
        <f>HYPERLINK("http://slimages.macys.com/is/image/MCY/10023859 ")</f>
        <v xml:space="preserve">http://slimages.macys.com/is/image/MCY/10023859 </v>
      </c>
    </row>
    <row r="555" spans="1:9" ht="27" x14ac:dyDescent="0.2">
      <c r="A555" s="2" t="s">
        <v>942</v>
      </c>
      <c r="B555" s="3">
        <v>1</v>
      </c>
      <c r="C555" s="4">
        <v>98.5</v>
      </c>
      <c r="D555" s="3">
        <v>710815477002</v>
      </c>
      <c r="E555" s="2" t="s">
        <v>943</v>
      </c>
      <c r="F555" s="2" t="s">
        <v>74</v>
      </c>
      <c r="G555" s="2"/>
      <c r="H555" s="2"/>
      <c r="I555" s="5"/>
    </row>
    <row r="556" spans="1:9" ht="27" x14ac:dyDescent="0.2">
      <c r="A556" s="2" t="s">
        <v>944</v>
      </c>
      <c r="B556" s="3">
        <v>1</v>
      </c>
      <c r="C556" s="4">
        <v>89</v>
      </c>
      <c r="D556" s="3" t="s">
        <v>945</v>
      </c>
      <c r="E556" s="2" t="s">
        <v>708</v>
      </c>
      <c r="F556" s="2" t="s">
        <v>946</v>
      </c>
      <c r="G556" s="2"/>
      <c r="H556" s="2"/>
      <c r="I556" s="5"/>
    </row>
    <row r="557" spans="1:9" ht="27" x14ac:dyDescent="0.2">
      <c r="A557" s="2" t="s">
        <v>947</v>
      </c>
      <c r="B557" s="3">
        <v>1</v>
      </c>
      <c r="C557" s="4">
        <v>53.5</v>
      </c>
      <c r="D557" s="3">
        <v>288330312</v>
      </c>
      <c r="E557" s="2" t="s">
        <v>148</v>
      </c>
      <c r="F557" s="2" t="s">
        <v>97</v>
      </c>
      <c r="G557" s="2"/>
      <c r="H557" s="2"/>
      <c r="I557" s="5"/>
    </row>
    <row r="558" spans="1:9" ht="53" x14ac:dyDescent="0.2">
      <c r="A558" s="2" t="s">
        <v>948</v>
      </c>
      <c r="B558" s="3">
        <v>1</v>
      </c>
      <c r="C558" s="4">
        <v>50</v>
      </c>
      <c r="D558" s="3">
        <v>10009030800</v>
      </c>
      <c r="E558" s="2" t="s">
        <v>262</v>
      </c>
      <c r="F558" s="2" t="s">
        <v>390</v>
      </c>
      <c r="G558" s="2"/>
      <c r="H558" s="2"/>
      <c r="I558" s="5"/>
    </row>
    <row r="559" spans="1:9" ht="53" x14ac:dyDescent="0.2">
      <c r="A559" s="2" t="s">
        <v>949</v>
      </c>
      <c r="B559" s="3">
        <v>1</v>
      </c>
      <c r="C559" s="4">
        <v>45</v>
      </c>
      <c r="D559" s="3">
        <v>10009031400</v>
      </c>
      <c r="E559" s="2" t="s">
        <v>33</v>
      </c>
      <c r="F559" s="2" t="s">
        <v>390</v>
      </c>
      <c r="G559" s="2"/>
      <c r="H559" s="2"/>
      <c r="I559" s="5"/>
    </row>
    <row r="560" spans="1:9" ht="53" x14ac:dyDescent="0.2">
      <c r="A560" s="2" t="s">
        <v>950</v>
      </c>
      <c r="B560" s="3">
        <v>1</v>
      </c>
      <c r="C560" s="4">
        <v>28</v>
      </c>
      <c r="D560" s="3" t="s">
        <v>951</v>
      </c>
      <c r="E560" s="2" t="s">
        <v>318</v>
      </c>
      <c r="F560" s="2" t="s">
        <v>612</v>
      </c>
      <c r="G560" s="2"/>
      <c r="H560" s="2"/>
      <c r="I560" s="5"/>
    </row>
    <row r="561" spans="1:9" ht="53" x14ac:dyDescent="0.2">
      <c r="A561" s="2" t="s">
        <v>656</v>
      </c>
      <c r="B561" s="3">
        <v>1</v>
      </c>
      <c r="C561" s="4">
        <v>28</v>
      </c>
      <c r="D561" s="3" t="s">
        <v>657</v>
      </c>
      <c r="E561" s="2" t="s">
        <v>124</v>
      </c>
      <c r="F561" s="2" t="s">
        <v>624</v>
      </c>
      <c r="G561" s="2"/>
      <c r="H561" s="2"/>
      <c r="I561" s="5"/>
    </row>
    <row r="562" spans="1:9" ht="40" x14ac:dyDescent="0.2">
      <c r="A562" s="2" t="s">
        <v>952</v>
      </c>
      <c r="B562" s="3">
        <v>1</v>
      </c>
      <c r="C562" s="4">
        <v>24.99</v>
      </c>
      <c r="D562" s="3" t="s">
        <v>953</v>
      </c>
      <c r="E562" s="2" t="s">
        <v>46</v>
      </c>
      <c r="F562" s="2" t="s">
        <v>566</v>
      </c>
      <c r="G562" s="2"/>
      <c r="H562" s="2"/>
      <c r="I562" s="5"/>
    </row>
    <row r="563" spans="1:9" ht="53" x14ac:dyDescent="0.2">
      <c r="A563" s="2" t="s">
        <v>954</v>
      </c>
      <c r="B563" s="3">
        <v>2</v>
      </c>
      <c r="C563" s="4">
        <v>44.5</v>
      </c>
      <c r="D563" s="3" t="s">
        <v>955</v>
      </c>
      <c r="E563" s="2" t="s">
        <v>330</v>
      </c>
      <c r="F563" s="2" t="s">
        <v>956</v>
      </c>
      <c r="G563" s="2"/>
      <c r="H563" s="2"/>
      <c r="I563" s="5"/>
    </row>
    <row r="564" spans="1:9" ht="27" x14ac:dyDescent="0.2">
      <c r="A564" s="2" t="s">
        <v>957</v>
      </c>
      <c r="B564" s="3">
        <v>1</v>
      </c>
      <c r="C564" s="4">
        <v>31.99</v>
      </c>
      <c r="D564" s="3" t="s">
        <v>958</v>
      </c>
      <c r="E564" s="2" t="s">
        <v>106</v>
      </c>
      <c r="F564" s="2" t="s">
        <v>449</v>
      </c>
      <c r="G564" s="2"/>
      <c r="H564" s="2"/>
      <c r="I564" s="5"/>
    </row>
    <row r="565" spans="1:9" x14ac:dyDescent="0.2">
      <c r="A565" s="2" t="s">
        <v>959</v>
      </c>
      <c r="B565" s="3">
        <v>8</v>
      </c>
      <c r="C565" s="4">
        <v>199.92</v>
      </c>
      <c r="D565" s="3">
        <v>10008580000</v>
      </c>
      <c r="E565" s="2" t="s">
        <v>77</v>
      </c>
      <c r="F565" s="2" t="s">
        <v>737</v>
      </c>
      <c r="G565" s="2"/>
      <c r="H565" s="2"/>
      <c r="I565" s="5"/>
    </row>
    <row r="566" spans="1:9" x14ac:dyDescent="0.2">
      <c r="A566" s="2" t="s">
        <v>960</v>
      </c>
      <c r="B566" s="3">
        <v>7</v>
      </c>
      <c r="C566" s="4">
        <v>174.93</v>
      </c>
      <c r="D566" s="3">
        <v>10008580100</v>
      </c>
      <c r="E566" s="2" t="s">
        <v>330</v>
      </c>
      <c r="F566" s="2" t="s">
        <v>737</v>
      </c>
      <c r="G566" s="2"/>
      <c r="H566" s="2"/>
      <c r="I566" s="5"/>
    </row>
    <row r="567" spans="1:9" ht="27" x14ac:dyDescent="0.2">
      <c r="A567" s="2" t="s">
        <v>961</v>
      </c>
      <c r="B567" s="3">
        <v>1</v>
      </c>
      <c r="C567" s="4">
        <v>24</v>
      </c>
      <c r="D567" s="3" t="s">
        <v>962</v>
      </c>
      <c r="E567" s="2" t="s">
        <v>167</v>
      </c>
      <c r="F567" s="2" t="s">
        <v>919</v>
      </c>
      <c r="G567" s="2"/>
      <c r="H567" s="2"/>
      <c r="I567" s="5"/>
    </row>
    <row r="568" spans="1:9" ht="53" x14ac:dyDescent="0.2">
      <c r="A568" s="2" t="s">
        <v>963</v>
      </c>
      <c r="B568" s="3">
        <v>1</v>
      </c>
      <c r="C568" s="4">
        <v>14.99</v>
      </c>
      <c r="D568" s="3" t="s">
        <v>964</v>
      </c>
      <c r="E568" s="2" t="s">
        <v>17</v>
      </c>
      <c r="F568" s="2" t="s">
        <v>857</v>
      </c>
      <c r="G568" s="2"/>
      <c r="H568" s="2"/>
      <c r="I568" s="5"/>
    </row>
    <row r="569" spans="1:9" ht="53" x14ac:dyDescent="0.2">
      <c r="A569" s="2" t="s">
        <v>965</v>
      </c>
      <c r="B569" s="3">
        <v>1</v>
      </c>
      <c r="C569" s="4">
        <v>14.99</v>
      </c>
      <c r="D569" s="3">
        <v>64971109</v>
      </c>
      <c r="E569" s="2" t="s">
        <v>161</v>
      </c>
      <c r="F569" s="2" t="s">
        <v>857</v>
      </c>
      <c r="G569" s="2"/>
      <c r="H569" s="2"/>
      <c r="I569" s="5"/>
    </row>
    <row r="570" spans="1:9" ht="53" x14ac:dyDescent="0.2">
      <c r="A570" s="2" t="s">
        <v>966</v>
      </c>
      <c r="B570" s="3">
        <v>1</v>
      </c>
      <c r="C570" s="4">
        <v>14.99</v>
      </c>
      <c r="D570" s="3" t="s">
        <v>967</v>
      </c>
      <c r="E570" s="2" t="s">
        <v>195</v>
      </c>
      <c r="F570" s="2" t="s">
        <v>857</v>
      </c>
      <c r="G570" s="2"/>
      <c r="H570" s="2"/>
      <c r="I570" s="5"/>
    </row>
    <row r="571" spans="1:9" ht="53" x14ac:dyDescent="0.2">
      <c r="A571" s="2" t="s">
        <v>968</v>
      </c>
      <c r="B571" s="3">
        <v>3</v>
      </c>
      <c r="C571" s="4">
        <v>44.97</v>
      </c>
      <c r="D571" s="3">
        <v>64964173</v>
      </c>
      <c r="E571" s="2" t="s">
        <v>323</v>
      </c>
      <c r="F571" s="2" t="s">
        <v>857</v>
      </c>
      <c r="G571" s="2"/>
      <c r="H571" s="2"/>
      <c r="I571" s="5"/>
    </row>
    <row r="572" spans="1:9" ht="53" x14ac:dyDescent="0.2">
      <c r="A572" s="2" t="s">
        <v>969</v>
      </c>
      <c r="B572" s="3">
        <v>1</v>
      </c>
      <c r="C572" s="4">
        <v>14.99</v>
      </c>
      <c r="D572" s="3" t="s">
        <v>970</v>
      </c>
      <c r="E572" s="2" t="s">
        <v>116</v>
      </c>
      <c r="F572" s="2" t="s">
        <v>857</v>
      </c>
      <c r="G572" s="2"/>
      <c r="H572" s="2"/>
      <c r="I572" s="5"/>
    </row>
    <row r="573" spans="1:9" ht="53" x14ac:dyDescent="0.2">
      <c r="A573" s="2" t="s">
        <v>971</v>
      </c>
      <c r="B573" s="3">
        <v>3</v>
      </c>
      <c r="C573" s="4">
        <v>44.97</v>
      </c>
      <c r="D573" s="3" t="s">
        <v>972</v>
      </c>
      <c r="E573" s="2" t="s">
        <v>943</v>
      </c>
      <c r="F573" s="2" t="s">
        <v>857</v>
      </c>
      <c r="G573" s="2"/>
      <c r="H573" s="2"/>
      <c r="I573" s="5"/>
    </row>
    <row r="574" spans="1:9" ht="27" x14ac:dyDescent="0.2">
      <c r="A574" s="2" t="s">
        <v>973</v>
      </c>
      <c r="B574" s="3">
        <v>1</v>
      </c>
      <c r="C574" s="4">
        <v>14.99</v>
      </c>
      <c r="D574" s="3">
        <v>10005865500</v>
      </c>
      <c r="E574" s="2" t="s">
        <v>330</v>
      </c>
      <c r="F574" s="2" t="s">
        <v>974</v>
      </c>
      <c r="G574" s="2"/>
      <c r="H574" s="2"/>
      <c r="I574" s="5"/>
    </row>
    <row r="575" spans="1:9" ht="53" x14ac:dyDescent="0.2">
      <c r="A575" s="2" t="s">
        <v>975</v>
      </c>
      <c r="B575" s="3">
        <v>1</v>
      </c>
      <c r="C575" s="4">
        <v>19.989999999999998</v>
      </c>
      <c r="D575" s="3" t="s">
        <v>976</v>
      </c>
      <c r="E575" s="2" t="s">
        <v>17</v>
      </c>
      <c r="F575" s="2" t="s">
        <v>977</v>
      </c>
      <c r="G575" s="2"/>
      <c r="H575" s="2"/>
      <c r="I575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fauzi elias abdou ramos</dc:creator>
  <cp:lastModifiedBy>fauzi elias abdou ramos</cp:lastModifiedBy>
  <dcterms:created xsi:type="dcterms:W3CDTF">2021-02-19T13:34:29Z</dcterms:created>
  <dcterms:modified xsi:type="dcterms:W3CDTF">2021-02-19T13:37:29Z</dcterms:modified>
</cp:coreProperties>
</file>